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oqcpe.sharepoint.com/sites/ServiceAdministratif/DocumentsThematiques/Développement de places/APPELS DE PROJETS (ADP)/ADP poupons et places immédiates/Outils/"/>
    </mc:Choice>
  </mc:AlternateContent>
  <xr:revisionPtr revIDLastSave="0" documentId="8_{2398C9E4-1124-4165-8695-7D1260D8D2C4}" xr6:coauthVersionLast="47" xr6:coauthVersionMax="47" xr10:uidLastSave="{00000000-0000-0000-0000-000000000000}"/>
  <bookViews>
    <workbookView xWindow="-110" yWindow="-110" windowWidth="19420" windowHeight="10420" activeTab="4" xr2:uid="{A1D9FEF9-00CD-7346-ACA2-30C8795CBB90}"/>
  </bookViews>
  <sheets>
    <sheet name="Exemple 1" sheetId="1" r:id="rId1"/>
    <sheet name="Exemple 2" sheetId="6" r:id="rId2"/>
    <sheet name="Exemple 3" sheetId="7" r:id="rId3"/>
    <sheet name="Exemple 4" sheetId="8" r:id="rId4"/>
    <sheet name="Feuille de calcul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69" i="9" l="1"/>
  <c r="AZ68" i="9"/>
  <c r="AO68" i="9"/>
  <c r="AP68" i="9" s="1"/>
  <c r="AZ69" i="8"/>
  <c r="AZ68" i="8"/>
  <c r="AX69" i="8"/>
  <c r="AY69" i="8" s="1"/>
  <c r="G68" i="8"/>
  <c r="I68" i="8" s="1"/>
  <c r="AY68" i="8"/>
  <c r="AX68" i="8"/>
  <c r="AO68" i="8"/>
  <c r="AP68" i="8" s="1"/>
  <c r="AX69" i="7"/>
  <c r="AY68" i="7" s="1"/>
  <c r="AZ68" i="7"/>
  <c r="AX68" i="7"/>
  <c r="AO68" i="7"/>
  <c r="AP68" i="7" s="1"/>
  <c r="AZ69" i="6"/>
  <c r="AY69" i="6"/>
  <c r="AX69" i="6"/>
  <c r="AZ68" i="6"/>
  <c r="AY68" i="6"/>
  <c r="AX68" i="6"/>
  <c r="AQ68" i="6"/>
  <c r="AO68" i="6"/>
  <c r="AP68" i="6" s="1"/>
  <c r="AR68" i="6" s="1"/>
  <c r="G86" i="9"/>
  <c r="G84" i="9"/>
  <c r="C79" i="9"/>
  <c r="E64" i="9"/>
  <c r="C55" i="9"/>
  <c r="A55" i="9"/>
  <c r="C50" i="9"/>
  <c r="A50" i="9"/>
  <c r="A43" i="9"/>
  <c r="A41" i="9"/>
  <c r="C16" i="9"/>
  <c r="I15" i="9"/>
  <c r="I21" i="9" s="1"/>
  <c r="C29" i="9" s="1"/>
  <c r="I29" i="9" s="1"/>
  <c r="I14" i="9"/>
  <c r="I20" i="9" s="1"/>
  <c r="C28" i="9" s="1"/>
  <c r="I28" i="9" s="1"/>
  <c r="I13" i="9"/>
  <c r="C8" i="9"/>
  <c r="B78" i="9" s="1"/>
  <c r="I7" i="9"/>
  <c r="I6" i="9"/>
  <c r="I5" i="9"/>
  <c r="I8" i="9" s="1"/>
  <c r="G86" i="8"/>
  <c r="G84" i="8"/>
  <c r="C79" i="8"/>
  <c r="E64" i="8"/>
  <c r="G87" i="8" s="1"/>
  <c r="C55" i="8"/>
  <c r="A55" i="8"/>
  <c r="C50" i="8"/>
  <c r="A50" i="8"/>
  <c r="A43" i="8"/>
  <c r="A41" i="8"/>
  <c r="C16" i="8"/>
  <c r="I15" i="8"/>
  <c r="I21" i="8" s="1"/>
  <c r="C29" i="8" s="1"/>
  <c r="I29" i="8" s="1"/>
  <c r="I14" i="8"/>
  <c r="I13" i="8"/>
  <c r="C8" i="8"/>
  <c r="B78" i="8" s="1"/>
  <c r="I7" i="8"/>
  <c r="I6" i="8"/>
  <c r="I5" i="8"/>
  <c r="I8" i="8" s="1"/>
  <c r="G86" i="7"/>
  <c r="G84" i="7"/>
  <c r="C79" i="7"/>
  <c r="E64" i="7"/>
  <c r="G87" i="7" s="1"/>
  <c r="C55" i="7"/>
  <c r="A55" i="7"/>
  <c r="C50" i="7"/>
  <c r="A50" i="7"/>
  <c r="A43" i="7"/>
  <c r="A41" i="7"/>
  <c r="C16" i="7"/>
  <c r="I15" i="7"/>
  <c r="I21" i="7" s="1"/>
  <c r="C29" i="7" s="1"/>
  <c r="I29" i="7" s="1"/>
  <c r="I14" i="7"/>
  <c r="I20" i="7" s="1"/>
  <c r="C28" i="7" s="1"/>
  <c r="I28" i="7" s="1"/>
  <c r="I13" i="7"/>
  <c r="C8" i="7"/>
  <c r="B78" i="7" s="1"/>
  <c r="I7" i="7"/>
  <c r="I6" i="7"/>
  <c r="I5" i="7"/>
  <c r="I8" i="7" s="1"/>
  <c r="G86" i="6"/>
  <c r="G84" i="6"/>
  <c r="C79" i="6"/>
  <c r="E64" i="6"/>
  <c r="C55" i="6"/>
  <c r="A55" i="6"/>
  <c r="C50" i="6"/>
  <c r="A50" i="6"/>
  <c r="A43" i="6"/>
  <c r="A41" i="6"/>
  <c r="C16" i="6"/>
  <c r="I15" i="6"/>
  <c r="I21" i="6" s="1"/>
  <c r="C29" i="6" s="1"/>
  <c r="I29" i="6" s="1"/>
  <c r="I14" i="6"/>
  <c r="I13" i="6"/>
  <c r="C8" i="6"/>
  <c r="I7" i="6"/>
  <c r="I6" i="6"/>
  <c r="I5" i="6"/>
  <c r="I8" i="6" s="1"/>
  <c r="E87" i="1"/>
  <c r="E86" i="1"/>
  <c r="C55" i="1"/>
  <c r="A55" i="1"/>
  <c r="C50" i="1"/>
  <c r="A50" i="1"/>
  <c r="AZ69" i="1"/>
  <c r="AX69" i="1"/>
  <c r="AY69" i="1" s="1"/>
  <c r="AY68" i="1"/>
  <c r="AZ68" i="1" s="1"/>
  <c r="AX68" i="1"/>
  <c r="AO68" i="1"/>
  <c r="AP68" i="1" s="1"/>
  <c r="B78" i="1"/>
  <c r="E84" i="1" s="1"/>
  <c r="C78" i="1"/>
  <c r="I15" i="1"/>
  <c r="I14" i="1"/>
  <c r="I13" i="1"/>
  <c r="I6" i="1"/>
  <c r="I7" i="1"/>
  <c r="I5" i="1"/>
  <c r="G84" i="1"/>
  <c r="G86" i="1" s="1"/>
  <c r="C79" i="1"/>
  <c r="E64" i="1"/>
  <c r="G87" i="1" s="1"/>
  <c r="A43" i="1"/>
  <c r="A41" i="1"/>
  <c r="C16" i="1"/>
  <c r="C8" i="1"/>
  <c r="AX69" i="9" l="1"/>
  <c r="AY69" i="9" s="1"/>
  <c r="AX68" i="9"/>
  <c r="G69" i="8"/>
  <c r="I69" i="8" s="1"/>
  <c r="E50" i="7"/>
  <c r="AY69" i="7"/>
  <c r="AZ69" i="7" s="1"/>
  <c r="G68" i="6"/>
  <c r="I68" i="6" s="1"/>
  <c r="AR69" i="6"/>
  <c r="G69" i="6" s="1"/>
  <c r="I69" i="6" s="1"/>
  <c r="E55" i="6"/>
  <c r="I55" i="6" s="1"/>
  <c r="E55" i="9"/>
  <c r="I55" i="9" s="1"/>
  <c r="E50" i="9"/>
  <c r="I50" i="9" s="1"/>
  <c r="I19" i="9"/>
  <c r="I22" i="9" s="1"/>
  <c r="C34" i="9" s="1"/>
  <c r="E87" i="9"/>
  <c r="E84" i="9"/>
  <c r="E80" i="9"/>
  <c r="E86" i="9"/>
  <c r="E8" i="9"/>
  <c r="C41" i="9"/>
  <c r="E41" i="9" s="1"/>
  <c r="I41" i="9" s="1"/>
  <c r="G64" i="9"/>
  <c r="AQ68" i="9" s="1"/>
  <c r="AR68" i="9" s="1"/>
  <c r="G68" i="9" s="1"/>
  <c r="I68" i="9" s="1"/>
  <c r="I16" i="9"/>
  <c r="G87" i="9"/>
  <c r="E55" i="8"/>
  <c r="G64" i="8" s="1"/>
  <c r="E50" i="8"/>
  <c r="I50" i="8" s="1"/>
  <c r="I19" i="8"/>
  <c r="C27" i="8" s="1"/>
  <c r="I27" i="8" s="1"/>
  <c r="I30" i="8" s="1"/>
  <c r="I20" i="8"/>
  <c r="C28" i="8" s="1"/>
  <c r="I28" i="8" s="1"/>
  <c r="E84" i="8"/>
  <c r="E87" i="8"/>
  <c r="E86" i="8"/>
  <c r="E80" i="8"/>
  <c r="E8" i="8"/>
  <c r="C41" i="8"/>
  <c r="I22" i="8"/>
  <c r="C34" i="8" s="1"/>
  <c r="E41" i="8"/>
  <c r="I41" i="8" s="1"/>
  <c r="I16" i="8"/>
  <c r="E55" i="7"/>
  <c r="G64" i="7" s="1"/>
  <c r="I19" i="7"/>
  <c r="C27" i="7" s="1"/>
  <c r="I27" i="7" s="1"/>
  <c r="I30" i="7" s="1"/>
  <c r="E8" i="7"/>
  <c r="C41" i="7"/>
  <c r="E41" i="7" s="1"/>
  <c r="I41" i="7" s="1"/>
  <c r="E87" i="7"/>
  <c r="E84" i="7"/>
  <c r="E86" i="7"/>
  <c r="E80" i="7"/>
  <c r="I22" i="7"/>
  <c r="C34" i="7" s="1"/>
  <c r="I16" i="7"/>
  <c r="I20" i="6"/>
  <c r="C28" i="6" s="1"/>
  <c r="I28" i="6" s="1"/>
  <c r="E50" i="6"/>
  <c r="I50" i="6" s="1"/>
  <c r="I19" i="6"/>
  <c r="I22" i="6" s="1"/>
  <c r="C34" i="6" s="1"/>
  <c r="C41" i="6"/>
  <c r="E8" i="6"/>
  <c r="E41" i="6"/>
  <c r="I41" i="6" s="1"/>
  <c r="G64" i="6"/>
  <c r="I16" i="6"/>
  <c r="B78" i="6"/>
  <c r="G87" i="6"/>
  <c r="I19" i="1"/>
  <c r="C27" i="1" s="1"/>
  <c r="I27" i="1" s="1"/>
  <c r="I20" i="1"/>
  <c r="C28" i="1" s="1"/>
  <c r="I28" i="1" s="1"/>
  <c r="I21" i="1"/>
  <c r="C29" i="1" s="1"/>
  <c r="I29" i="1" s="1"/>
  <c r="I16" i="1"/>
  <c r="E16" i="1" s="1"/>
  <c r="I8" i="1"/>
  <c r="E8" i="1" s="1"/>
  <c r="AY68" i="9" l="1"/>
  <c r="AR69" i="9"/>
  <c r="G69" i="9" s="1"/>
  <c r="I69" i="9" s="1"/>
  <c r="AQ68" i="8"/>
  <c r="AR68" i="8" s="1"/>
  <c r="AR69" i="8" s="1"/>
  <c r="I64" i="8"/>
  <c r="I55" i="8"/>
  <c r="I50" i="7"/>
  <c r="AQ68" i="7"/>
  <c r="I64" i="7"/>
  <c r="I55" i="7"/>
  <c r="I64" i="6"/>
  <c r="C27" i="9"/>
  <c r="I27" i="9" s="1"/>
  <c r="I30" i="9" s="1"/>
  <c r="E90" i="9"/>
  <c r="E91" i="9" s="1"/>
  <c r="C35" i="9"/>
  <c r="I34" i="9"/>
  <c r="E16" i="9"/>
  <c r="C78" i="9"/>
  <c r="C80" i="9" s="1"/>
  <c r="G80" i="9" s="1"/>
  <c r="K80" i="9" s="1"/>
  <c r="C84" i="9" s="1"/>
  <c r="C43" i="9"/>
  <c r="E43" i="9" s="1"/>
  <c r="I43" i="9" s="1"/>
  <c r="I44" i="9" s="1"/>
  <c r="I64" i="9"/>
  <c r="E90" i="8"/>
  <c r="E91" i="8" s="1"/>
  <c r="C78" i="8"/>
  <c r="C80" i="8" s="1"/>
  <c r="G80" i="8" s="1"/>
  <c r="K80" i="8" s="1"/>
  <c r="C84" i="8" s="1"/>
  <c r="C43" i="8"/>
  <c r="E43" i="8" s="1"/>
  <c r="I43" i="8" s="1"/>
  <c r="I44" i="8" s="1"/>
  <c r="E16" i="8"/>
  <c r="I34" i="8"/>
  <c r="C35" i="8"/>
  <c r="C78" i="7"/>
  <c r="C80" i="7" s="1"/>
  <c r="G80" i="7" s="1"/>
  <c r="K80" i="7" s="1"/>
  <c r="C84" i="7" s="1"/>
  <c r="C43" i="7"/>
  <c r="E43" i="7" s="1"/>
  <c r="I43" i="7" s="1"/>
  <c r="I44" i="7" s="1"/>
  <c r="E16" i="7"/>
  <c r="C35" i="7"/>
  <c r="I34" i="7"/>
  <c r="E90" i="7"/>
  <c r="E91" i="7" s="1"/>
  <c r="C27" i="6"/>
  <c r="I27" i="6" s="1"/>
  <c r="I30" i="6" s="1"/>
  <c r="E84" i="6"/>
  <c r="E80" i="6"/>
  <c r="E87" i="6"/>
  <c r="E86" i="6"/>
  <c r="E16" i="6"/>
  <c r="C78" i="6"/>
  <c r="C80" i="6" s="1"/>
  <c r="C43" i="6"/>
  <c r="E43" i="6" s="1"/>
  <c r="I43" i="6" s="1"/>
  <c r="I44" i="6" s="1"/>
  <c r="C35" i="6"/>
  <c r="I34" i="6"/>
  <c r="E50" i="1"/>
  <c r="E55" i="1"/>
  <c r="G64" i="1" s="1"/>
  <c r="E80" i="1"/>
  <c r="C41" i="1"/>
  <c r="E41" i="1" s="1"/>
  <c r="I41" i="1" s="1"/>
  <c r="C43" i="1"/>
  <c r="E43" i="1" s="1"/>
  <c r="I43" i="1" s="1"/>
  <c r="I22" i="1"/>
  <c r="C34" i="1" s="1"/>
  <c r="C35" i="1" s="1"/>
  <c r="I30" i="1"/>
  <c r="AR68" i="7" l="1"/>
  <c r="G68" i="7" s="1"/>
  <c r="I68" i="7" s="1"/>
  <c r="I50" i="1"/>
  <c r="AQ68" i="1"/>
  <c r="G80" i="6"/>
  <c r="K80" i="6" s="1"/>
  <c r="C84" i="6" s="1"/>
  <c r="I70" i="9"/>
  <c r="C36" i="9"/>
  <c r="I36" i="9" s="1"/>
  <c r="I35" i="9"/>
  <c r="I84" i="9"/>
  <c r="C86" i="9"/>
  <c r="I84" i="8"/>
  <c r="C86" i="8"/>
  <c r="C36" i="8"/>
  <c r="I36" i="8" s="1"/>
  <c r="I35" i="8"/>
  <c r="I37" i="8" s="1"/>
  <c r="I70" i="8"/>
  <c r="I35" i="7"/>
  <c r="C36" i="7"/>
  <c r="I36" i="7" s="1"/>
  <c r="I84" i="7"/>
  <c r="C86" i="7"/>
  <c r="C36" i="6"/>
  <c r="I36" i="6" s="1"/>
  <c r="I35" i="6"/>
  <c r="I84" i="6"/>
  <c r="C86" i="6"/>
  <c r="I37" i="6"/>
  <c r="I70" i="6"/>
  <c r="E91" i="6"/>
  <c r="E90" i="6"/>
  <c r="AR68" i="1"/>
  <c r="G68" i="1" s="1"/>
  <c r="I68" i="1" s="1"/>
  <c r="I55" i="1"/>
  <c r="I44" i="1"/>
  <c r="I34" i="1"/>
  <c r="C80" i="1"/>
  <c r="I64" i="1"/>
  <c r="I35" i="1"/>
  <c r="C36" i="1"/>
  <c r="I36" i="1" s="1"/>
  <c r="AR69" i="7" l="1"/>
  <c r="G69" i="7" s="1"/>
  <c r="I69" i="7" s="1"/>
  <c r="I70" i="7" s="1"/>
  <c r="I37" i="9"/>
  <c r="C87" i="9"/>
  <c r="I87" i="9" s="1"/>
  <c r="I86" i="9"/>
  <c r="I88" i="9" s="1"/>
  <c r="C90" i="9"/>
  <c r="C87" i="8"/>
  <c r="I87" i="8" s="1"/>
  <c r="I86" i="8"/>
  <c r="C90" i="8"/>
  <c r="I37" i="7"/>
  <c r="I86" i="7"/>
  <c r="C87" i="7"/>
  <c r="I87" i="7" s="1"/>
  <c r="C90" i="7"/>
  <c r="C87" i="6"/>
  <c r="I87" i="6" s="1"/>
  <c r="I86" i="6"/>
  <c r="I88" i="6" s="1"/>
  <c r="C90" i="6"/>
  <c r="AR69" i="1"/>
  <c r="G69" i="1" s="1"/>
  <c r="I69" i="1" s="1"/>
  <c r="E90" i="1"/>
  <c r="E91" i="1"/>
  <c r="G80" i="1"/>
  <c r="K80" i="1" s="1"/>
  <c r="C84" i="1" s="1"/>
  <c r="I37" i="1"/>
  <c r="C91" i="9" l="1"/>
  <c r="I91" i="9" s="1"/>
  <c r="I90" i="9"/>
  <c r="I88" i="8"/>
  <c r="C91" i="8"/>
  <c r="I91" i="8" s="1"/>
  <c r="I90" i="8"/>
  <c r="C91" i="7"/>
  <c r="I91" i="7" s="1"/>
  <c r="I90" i="7"/>
  <c r="I88" i="7"/>
  <c r="C91" i="6"/>
  <c r="I91" i="6" s="1"/>
  <c r="I90" i="6"/>
  <c r="I92" i="6" s="1"/>
  <c r="I25" i="6" s="1"/>
  <c r="C86" i="1"/>
  <c r="C87" i="1" s="1"/>
  <c r="I87" i="1" s="1"/>
  <c r="I84" i="1"/>
  <c r="C90" i="1"/>
  <c r="I86" i="1"/>
  <c r="I70" i="1"/>
  <c r="I92" i="9" l="1"/>
  <c r="I25" i="9" s="1"/>
  <c r="I92" i="8"/>
  <c r="I25" i="8" s="1"/>
  <c r="I92" i="7"/>
  <c r="I25" i="7" s="1"/>
  <c r="I88" i="1"/>
  <c r="C91" i="1"/>
  <c r="I91" i="1" s="1"/>
  <c r="I90" i="1"/>
  <c r="I92" i="1" l="1"/>
  <c r="I25" i="1" s="1"/>
</calcChain>
</file>

<file path=xl/sharedStrings.xml><?xml version="1.0" encoding="utf-8"?>
<sst xmlns="http://schemas.openxmlformats.org/spreadsheetml/2006/main" count="835" uniqueCount="68">
  <si>
    <t>Changement groupe 4 ans en groupe poupons</t>
  </si>
  <si>
    <t>Enfants 0-17 mois</t>
  </si>
  <si>
    <t>Enfants 18-47 mois (2 et 3 ans)</t>
  </si>
  <si>
    <t>Enfants 48-59 mois (4 ans)</t>
  </si>
  <si>
    <t xml:space="preserve">Total places subventionnées </t>
  </si>
  <si>
    <t xml:space="preserve">Nombre de jours ouvrables </t>
  </si>
  <si>
    <t xml:space="preserve">Situation existante </t>
  </si>
  <si>
    <t xml:space="preserve">Nombre d'enfants </t>
  </si>
  <si>
    <t>Jours d'occupation</t>
  </si>
  <si>
    <t>Services directs</t>
  </si>
  <si>
    <t>Effet sur le financement du Ministère</t>
  </si>
  <si>
    <t xml:space="preserve">Barèmes </t>
  </si>
  <si>
    <t>x</t>
  </si>
  <si>
    <t>Services auxiliaires</t>
  </si>
  <si>
    <t xml:space="preserve">Volet A </t>
  </si>
  <si>
    <t xml:space="preserve">x </t>
  </si>
  <si>
    <t>Denrées alimentaires</t>
  </si>
  <si>
    <t>Dépenses d’entretien ménager et paysager,
le déneigement et l’achat de petits équipements</t>
  </si>
  <si>
    <t xml:space="preserve">Responsable de l'alimentation </t>
  </si>
  <si>
    <t>Volet B</t>
  </si>
  <si>
    <t xml:space="preserve">AVANT </t>
  </si>
  <si>
    <t>-</t>
  </si>
  <si>
    <t>=</t>
  </si>
  <si>
    <t>CHANGEMENT</t>
  </si>
  <si>
    <t>PROPRIÉTAIRE</t>
  </si>
  <si>
    <t>LOCATAIRE</t>
  </si>
  <si>
    <t>Volet A</t>
  </si>
  <si>
    <t>Code de la région</t>
  </si>
  <si>
    <t xml:space="preserve">Locataire -montant par place </t>
  </si>
  <si>
    <t>Agglomération de Montréal</t>
  </si>
  <si>
    <t>Communauté métropolitaine Québec</t>
  </si>
  <si>
    <t>Régions urbaines</t>
  </si>
  <si>
    <t>Régions centrales</t>
  </si>
  <si>
    <t>Régions ressources</t>
  </si>
  <si>
    <t xml:space="preserve">Le code de la région </t>
  </si>
  <si>
    <t>60 premières places</t>
  </si>
  <si>
    <t xml:space="preserve">Chaque place au-delà de 60 places </t>
  </si>
  <si>
    <t>SAUF SI le taux d'occupation tombe sous le seuil de 90 %</t>
  </si>
  <si>
    <t>Places subventionnées restent inchangées</t>
  </si>
  <si>
    <t xml:space="preserve">Taux d'occupation </t>
  </si>
  <si>
    <t>Occupation maximale selon les places subventionnées</t>
  </si>
  <si>
    <t xml:space="preserve">Nouvelle occupation avec changement </t>
  </si>
  <si>
    <t>/</t>
  </si>
  <si>
    <t>Seuil à 90 %</t>
  </si>
  <si>
    <t xml:space="preserve">Optimisation des services </t>
  </si>
  <si>
    <t>S'il y a des enfants handicapés</t>
  </si>
  <si>
    <t>Nbre</t>
  </si>
  <si>
    <t>Taux d'occupation existant</t>
  </si>
  <si>
    <t>Taux d'occupation estimé</t>
  </si>
  <si>
    <t>Effets du changement sur  les jours d'occupation</t>
  </si>
  <si>
    <t>AUNCUN EFFET sur le coût d'occupation des locaux et des services administratifs</t>
  </si>
  <si>
    <t xml:space="preserve">Coût d'occupation des locaux </t>
  </si>
  <si>
    <t>Perte potentielle du montant maximal</t>
  </si>
  <si>
    <t>Services administratifs</t>
  </si>
  <si>
    <t>Si négatif, Moins si ajustement de la charge au Budget</t>
  </si>
  <si>
    <t xml:space="preserve">Montant maximal ne correspond pas nécessairement au montant à recevoir </t>
  </si>
  <si>
    <t>Changement groupe 4 ans en poupon ou ajout pouponnière</t>
  </si>
  <si>
    <t>Contribution parentale comprise</t>
  </si>
  <si>
    <t>UNIQUEMENT POUR LES INSTALLATIONS QUI RÉDUISENT LEURS PLACES OFFERTES SANS BAISSE DE PERMIS</t>
  </si>
  <si>
    <t xml:space="preserve">A ou B </t>
  </si>
  <si>
    <t>B - Si AUCUNE baisse de places au permis ou subventionnées</t>
  </si>
  <si>
    <t>oui</t>
  </si>
  <si>
    <t>non</t>
  </si>
  <si>
    <t>A - Si baisse ou augmentation de places au permis ou subventionnées</t>
  </si>
  <si>
    <t xml:space="preserve">Ne prends pas en compte le taux de présence </t>
  </si>
  <si>
    <t>Prends uniquement en compte le taux d'occupation (seuil) si pas de modification aux places subventionnées lors d'un changement de 4 ans à pouponnière</t>
  </si>
  <si>
    <t>Si négatif, Perte potentielle sur le montant maximal, ou moins si la charge réelle est inférieure</t>
  </si>
  <si>
    <t xml:space="preserve">Total du manque à gagner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</si>
</sst>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$&quot;_ ;_ * \(#,##0.00\)\ &quot;$&quot;_ ;_ * &quot;-&quot;??_)\ &quot;$&quot;_ ;_ @_ "/>
    <numFmt numFmtId="164" formatCode="&quot;$&quot;#,##0_);\(&quot;$&quot;#,##0\)"/>
    <numFmt numFmtId="165" formatCode="_(&quot;$&quot;* #,##0.00_);_(&quot;$&quot;* \(#,##0.00\);_(&quot;$&quot;* &quot;-&quot;??_);_(@_)"/>
    <numFmt numFmtId="166" formatCode="_ * #,##0_)\ _$_ ;_ * \(#,##0\)\ _$_ ;_ * &quot;-&quot;_)\ _$_ ;_ @_ "/>
    <numFmt numFmtId="167" formatCode="_ * #,##0_)\ &quot;$&quot;_ ;_ * \(#,##0\)\ &quot;$&quot;_ ;_ * &quot;-&quot;??_)\ &quot;$&quot;_ ;_ @_ "/>
    <numFmt numFmtId="168" formatCode="0.0%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2" borderId="0" xfId="0" applyNumberFormat="1" applyFill="1" applyAlignment="1">
      <alignment horizontal="center" vertical="center"/>
    </xf>
    <xf numFmtId="166" fontId="0" fillId="0" borderId="0" xfId="0" applyNumberFormat="1"/>
    <xf numFmtId="0" fontId="0" fillId="0" borderId="1" xfId="0" applyBorder="1" applyAlignment="1">
      <alignment horizontal="center" vertical="center"/>
    </xf>
    <xf numFmtId="166" fontId="0" fillId="0" borderId="1" xfId="0" applyNumberFormat="1" applyBorder="1"/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vertical="center"/>
    </xf>
    <xf numFmtId="0" fontId="3" fillId="0" borderId="0" xfId="0" applyFont="1"/>
    <xf numFmtId="165" fontId="0" fillId="0" borderId="0" xfId="1" applyFont="1" applyAlignment="1">
      <alignment horizontal="center" vertical="center"/>
    </xf>
    <xf numFmtId="165" fontId="0" fillId="0" borderId="0" xfId="1" applyFont="1"/>
    <xf numFmtId="167" fontId="0" fillId="0" borderId="0" xfId="1" applyNumberFormat="1" applyFont="1"/>
    <xf numFmtId="165" fontId="0" fillId="0" borderId="1" xfId="1" applyFont="1" applyBorder="1" applyAlignment="1">
      <alignment horizontal="center" vertical="center"/>
    </xf>
    <xf numFmtId="167" fontId="0" fillId="0" borderId="1" xfId="1" applyNumberFormat="1" applyFont="1" applyBorder="1"/>
    <xf numFmtId="0" fontId="0" fillId="0" borderId="1" xfId="0" applyBorder="1" applyAlignment="1">
      <alignment vertical="center" wrapText="1"/>
    </xf>
    <xf numFmtId="16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167" fontId="0" fillId="0" borderId="1" xfId="1" applyNumberFormat="1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167" fontId="3" fillId="0" borderId="0" xfId="0" applyNumberFormat="1" applyFont="1"/>
    <xf numFmtId="166" fontId="0" fillId="0" borderId="0" xfId="0" applyNumberFormat="1" applyAlignment="1">
      <alignment horizontal="center" vertical="center"/>
    </xf>
    <xf numFmtId="165" fontId="0" fillId="0" borderId="0" xfId="1" applyFont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5" fontId="0" fillId="0" borderId="1" xfId="1" applyFont="1" applyBorder="1" applyAlignment="1">
      <alignment horizontal="center"/>
    </xf>
    <xf numFmtId="167" fontId="0" fillId="0" borderId="0" xfId="1" applyNumberFormat="1" applyFont="1" applyAlignment="1">
      <alignment horizontal="center" vertical="center"/>
    </xf>
    <xf numFmtId="167" fontId="0" fillId="0" borderId="0" xfId="0" applyNumberFormat="1"/>
    <xf numFmtId="167" fontId="0" fillId="0" borderId="1" xfId="0" applyNumberFormat="1" applyBorder="1"/>
    <xf numFmtId="168" fontId="0" fillId="0" borderId="0" xfId="2" applyNumberFormat="1" applyFont="1"/>
    <xf numFmtId="166" fontId="0" fillId="2" borderId="1" xfId="0" applyNumberFormat="1" applyFill="1" applyBorder="1"/>
    <xf numFmtId="9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1" xfId="0" applyNumberFormat="1" applyBorder="1" applyAlignment="1">
      <alignment horizontal="center"/>
    </xf>
    <xf numFmtId="164" fontId="0" fillId="0" borderId="0" xfId="0" applyNumberFormat="1"/>
    <xf numFmtId="0" fontId="3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3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Border="1" applyAlignment="1">
      <alignment horizontal="center" wrapText="1"/>
    </xf>
    <xf numFmtId="9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4" fontId="0" fillId="0" borderId="0" xfId="1" applyNumberFormat="1" applyFont="1" applyAlignment="1">
      <alignment horizontal="center" vertical="center"/>
    </xf>
    <xf numFmtId="44" fontId="0" fillId="0" borderId="0" xfId="1" applyNumberFormat="1" applyFont="1" applyBorder="1" applyAlignment="1">
      <alignment horizontal="center" vertical="center"/>
    </xf>
    <xf numFmtId="44" fontId="0" fillId="0" borderId="1" xfId="1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3" fillId="0" borderId="1" xfId="0" applyNumberFormat="1" applyFont="1" applyBorder="1"/>
    <xf numFmtId="166" fontId="3" fillId="0" borderId="0" xfId="0" applyNumberFormat="1" applyFont="1"/>
    <xf numFmtId="0" fontId="0" fillId="2" borderId="0" xfId="0" applyFill="1"/>
    <xf numFmtId="0" fontId="3" fillId="5" borderId="0" xfId="0" applyFont="1" applyFill="1" applyAlignment="1">
      <alignment horizontal="center" vertical="center"/>
    </xf>
    <xf numFmtId="167" fontId="3" fillId="5" borderId="0" xfId="0" applyNumberFormat="1" applyFont="1" applyFill="1"/>
    <xf numFmtId="0" fontId="3" fillId="5" borderId="0" xfId="0" applyFont="1" applyFill="1" applyAlignment="1">
      <alignment horizontal="right"/>
    </xf>
  </cellXfs>
  <cellStyles count="4">
    <cellStyle name="Monétaire" xfId="1" builtinId="4"/>
    <cellStyle name="Normal" xfId="0" builtinId="0"/>
    <cellStyle name="Normal 2" xfId="3" xr:uid="{A12D2F8A-0473-704F-9A30-545DE06D368F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0E98D-3942-F54C-9450-69FF284667EA}">
  <dimension ref="A1:AZ92"/>
  <sheetViews>
    <sheetView zoomScaleNormal="100" workbookViewId="0">
      <selection activeCell="A68" sqref="A68:XFD69"/>
    </sheetView>
  </sheetViews>
  <sheetFormatPr baseColWidth="10" defaultRowHeight="15.75" x14ac:dyDescent="0.25"/>
  <cols>
    <col min="1" max="1" width="35.875" customWidth="1"/>
    <col min="2" max="2" width="5.625" customWidth="1"/>
    <col min="3" max="3" width="14.375" customWidth="1"/>
    <col min="4" max="4" width="3.125" bestFit="1" customWidth="1"/>
    <col min="5" max="5" width="14.125" style="6" customWidth="1"/>
    <col min="6" max="6" width="3.875" style="6" customWidth="1"/>
    <col min="7" max="7" width="11.625" customWidth="1"/>
    <col min="8" max="8" width="5.875" style="4" customWidth="1"/>
    <col min="9" max="9" width="13" customWidth="1"/>
    <col min="10" max="10" width="2.5" customWidth="1"/>
    <col min="11" max="12" width="12.375" customWidth="1"/>
    <col min="14" max="14" width="12.875" customWidth="1"/>
  </cols>
  <sheetData>
    <row r="1" spans="1:14" x14ac:dyDescent="0.25">
      <c r="A1" s="14" t="s">
        <v>0</v>
      </c>
      <c r="B1" s="14"/>
      <c r="C1" s="24" t="s">
        <v>64</v>
      </c>
    </row>
    <row r="2" spans="1:14" x14ac:dyDescent="0.25">
      <c r="C2" s="24" t="s">
        <v>65</v>
      </c>
    </row>
    <row r="3" spans="1:14" x14ac:dyDescent="0.25">
      <c r="A3" s="40" t="s">
        <v>6</v>
      </c>
      <c r="B3" s="40"/>
      <c r="C3" s="41"/>
      <c r="D3" s="41"/>
      <c r="E3" s="42"/>
      <c r="F3" s="42"/>
      <c r="G3" s="41"/>
      <c r="H3" s="43"/>
      <c r="I3" s="41"/>
    </row>
    <row r="4" spans="1:14" ht="47.25" x14ac:dyDescent="0.25">
      <c r="C4" s="12" t="s">
        <v>7</v>
      </c>
      <c r="D4" s="12"/>
      <c r="E4" s="7" t="s">
        <v>47</v>
      </c>
      <c r="F4" s="7"/>
      <c r="G4" s="12" t="s">
        <v>5</v>
      </c>
      <c r="H4" s="12"/>
      <c r="I4" s="12" t="s">
        <v>8</v>
      </c>
      <c r="J4" s="12"/>
      <c r="K4" s="12"/>
      <c r="L4" s="7"/>
      <c r="M4" s="12"/>
      <c r="N4" s="12"/>
    </row>
    <row r="5" spans="1:14" x14ac:dyDescent="0.25">
      <c r="A5" t="s">
        <v>1</v>
      </c>
      <c r="C5" s="2">
        <v>0</v>
      </c>
      <c r="D5" s="12" t="s">
        <v>12</v>
      </c>
      <c r="E5" s="8">
        <v>0</v>
      </c>
      <c r="F5" s="6" t="s">
        <v>12</v>
      </c>
      <c r="G5" s="6">
        <v>260</v>
      </c>
      <c r="H5" s="6" t="s">
        <v>22</v>
      </c>
      <c r="I5" s="9">
        <f>C5*G5*E5</f>
        <v>0</v>
      </c>
      <c r="J5" s="9"/>
      <c r="K5" s="4"/>
      <c r="L5" s="6"/>
      <c r="M5" s="6"/>
      <c r="N5" s="9"/>
    </row>
    <row r="6" spans="1:14" x14ac:dyDescent="0.25">
      <c r="A6" t="s">
        <v>2</v>
      </c>
      <c r="C6" s="2">
        <v>20</v>
      </c>
      <c r="D6" s="12" t="s">
        <v>12</v>
      </c>
      <c r="E6" s="8">
        <v>0.97</v>
      </c>
      <c r="F6" s="6" t="s">
        <v>12</v>
      </c>
      <c r="G6" s="6">
        <v>260</v>
      </c>
      <c r="H6" s="6" t="s">
        <v>22</v>
      </c>
      <c r="I6" s="9">
        <f t="shared" ref="I6:I7" si="0">C6*G6*E6</f>
        <v>5044</v>
      </c>
      <c r="J6" s="9"/>
      <c r="K6" s="4"/>
      <c r="L6" s="6"/>
      <c r="M6" s="6"/>
      <c r="N6" s="9"/>
    </row>
    <row r="7" spans="1:14" x14ac:dyDescent="0.25">
      <c r="A7" s="1" t="s">
        <v>3</v>
      </c>
      <c r="B7" s="1"/>
      <c r="C7" s="3">
        <v>20</v>
      </c>
      <c r="D7" s="51" t="s">
        <v>12</v>
      </c>
      <c r="E7" s="52">
        <v>1</v>
      </c>
      <c r="F7" s="10" t="s">
        <v>12</v>
      </c>
      <c r="G7" s="10">
        <v>260</v>
      </c>
      <c r="H7" s="10" t="s">
        <v>22</v>
      </c>
      <c r="I7" s="11">
        <f t="shared" si="0"/>
        <v>5200</v>
      </c>
      <c r="J7" s="9"/>
      <c r="K7" s="4"/>
      <c r="L7" s="6"/>
      <c r="M7" s="6"/>
      <c r="N7" s="9"/>
    </row>
    <row r="8" spans="1:14" x14ac:dyDescent="0.25">
      <c r="A8" t="s">
        <v>4</v>
      </c>
      <c r="C8" s="4">
        <f>SUM(C5:C7)</f>
        <v>40</v>
      </c>
      <c r="D8" s="4"/>
      <c r="E8" s="13">
        <f>IF(I8=0,0,I8/(C8*G8))</f>
        <v>0.98499999999999999</v>
      </c>
      <c r="G8" s="6">
        <v>260</v>
      </c>
      <c r="H8" s="6"/>
      <c r="I8" s="59">
        <f>SUM(I5:I7)</f>
        <v>10244</v>
      </c>
      <c r="J8" s="9"/>
      <c r="K8" s="4"/>
      <c r="L8" s="13"/>
      <c r="M8" s="6"/>
      <c r="N8" s="9"/>
    </row>
    <row r="11" spans="1:14" x14ac:dyDescent="0.25">
      <c r="A11" s="44" t="s">
        <v>56</v>
      </c>
      <c r="B11" s="44"/>
      <c r="C11" s="45"/>
      <c r="D11" s="45"/>
      <c r="E11" s="45"/>
      <c r="F11" s="45"/>
      <c r="G11" s="45"/>
      <c r="H11" s="46"/>
      <c r="I11" s="45"/>
    </row>
    <row r="12" spans="1:14" ht="47.25" x14ac:dyDescent="0.25">
      <c r="C12" s="12" t="s">
        <v>7</v>
      </c>
      <c r="D12" s="12"/>
      <c r="E12" s="7" t="s">
        <v>48</v>
      </c>
      <c r="F12" s="7"/>
      <c r="G12" s="12" t="s">
        <v>5</v>
      </c>
      <c r="H12" s="12"/>
      <c r="I12" s="12" t="s">
        <v>8</v>
      </c>
    </row>
    <row r="13" spans="1:14" x14ac:dyDescent="0.25">
      <c r="A13" t="s">
        <v>1</v>
      </c>
      <c r="C13" s="2">
        <v>10</v>
      </c>
      <c r="D13" s="12" t="s">
        <v>12</v>
      </c>
      <c r="E13" s="8">
        <v>0.97</v>
      </c>
      <c r="F13" s="6" t="s">
        <v>12</v>
      </c>
      <c r="G13" s="6">
        <v>260</v>
      </c>
      <c r="H13" s="6" t="s">
        <v>22</v>
      </c>
      <c r="I13" s="9">
        <f>C13*G13*E13</f>
        <v>2522</v>
      </c>
    </row>
    <row r="14" spans="1:14" x14ac:dyDescent="0.25">
      <c r="A14" t="s">
        <v>2</v>
      </c>
      <c r="C14" s="2">
        <v>20</v>
      </c>
      <c r="D14" s="12" t="s">
        <v>12</v>
      </c>
      <c r="E14" s="8">
        <v>0.99</v>
      </c>
      <c r="F14" s="6" t="s">
        <v>12</v>
      </c>
      <c r="G14" s="6">
        <v>260</v>
      </c>
      <c r="H14" s="6" t="s">
        <v>22</v>
      </c>
      <c r="I14" s="9">
        <f t="shared" ref="I14:I15" si="1">C14*G14*E14</f>
        <v>5148</v>
      </c>
    </row>
    <row r="15" spans="1:14" x14ac:dyDescent="0.25">
      <c r="A15" s="1" t="s">
        <v>3</v>
      </c>
      <c r="B15" s="1"/>
      <c r="C15" s="3">
        <v>0</v>
      </c>
      <c r="D15" s="51" t="s">
        <v>12</v>
      </c>
      <c r="E15" s="52">
        <v>0</v>
      </c>
      <c r="F15" s="10" t="s">
        <v>12</v>
      </c>
      <c r="G15" s="10">
        <v>260</v>
      </c>
      <c r="H15" s="10" t="s">
        <v>22</v>
      </c>
      <c r="I15" s="11">
        <f t="shared" si="1"/>
        <v>0</v>
      </c>
    </row>
    <row r="16" spans="1:14" x14ac:dyDescent="0.25">
      <c r="A16" t="s">
        <v>4</v>
      </c>
      <c r="C16" s="4">
        <f>SUM(C13:C15)</f>
        <v>30</v>
      </c>
      <c r="D16" s="4"/>
      <c r="E16" s="13">
        <f>IF(I16=0,0,I16/(C16*G16))</f>
        <v>0.98333333333333328</v>
      </c>
      <c r="G16" s="6">
        <v>260</v>
      </c>
      <c r="H16" s="6"/>
      <c r="I16" s="59">
        <f>SUM(I13:I15)</f>
        <v>7670</v>
      </c>
    </row>
    <row r="18" spans="1:12" x14ac:dyDescent="0.25">
      <c r="A18" s="14" t="s">
        <v>49</v>
      </c>
      <c r="I18" s="9"/>
    </row>
    <row r="19" spans="1:12" x14ac:dyDescent="0.25">
      <c r="A19" t="s">
        <v>1</v>
      </c>
      <c r="I19" s="9">
        <f>I13-I5</f>
        <v>2522</v>
      </c>
    </row>
    <row r="20" spans="1:12" x14ac:dyDescent="0.25">
      <c r="A20" t="s">
        <v>2</v>
      </c>
      <c r="I20" s="9">
        <f t="shared" ref="I20:I21" si="2">I14-I6</f>
        <v>104</v>
      </c>
    </row>
    <row r="21" spans="1:12" x14ac:dyDescent="0.25">
      <c r="A21" s="1" t="s">
        <v>3</v>
      </c>
      <c r="B21" s="1"/>
      <c r="C21" s="1"/>
      <c r="D21" s="1"/>
      <c r="E21" s="10"/>
      <c r="F21" s="10"/>
      <c r="G21" s="1"/>
      <c r="H21" s="22"/>
      <c r="I21" s="11">
        <f t="shared" si="2"/>
        <v>-5200</v>
      </c>
    </row>
    <row r="22" spans="1:12" x14ac:dyDescent="0.25">
      <c r="A22" t="s">
        <v>4</v>
      </c>
      <c r="I22" s="59">
        <f>SUM(I19:I21)</f>
        <v>-2574</v>
      </c>
    </row>
    <row r="23" spans="1:12" x14ac:dyDescent="0.25">
      <c r="C23" s="4"/>
      <c r="D23" s="4"/>
      <c r="E23" s="4"/>
      <c r="F23" s="4"/>
      <c r="G23" s="4"/>
      <c r="I23" s="4"/>
      <c r="J23" s="4"/>
      <c r="K23" s="4"/>
      <c r="L23" s="4"/>
    </row>
    <row r="24" spans="1:12" x14ac:dyDescent="0.25">
      <c r="C24" s="4"/>
      <c r="D24" s="4"/>
      <c r="E24" s="4"/>
      <c r="F24" s="4"/>
      <c r="G24" s="4"/>
      <c r="I24" s="4"/>
      <c r="J24" s="4"/>
      <c r="K24" s="4"/>
      <c r="L24" s="4"/>
    </row>
    <row r="25" spans="1:12" x14ac:dyDescent="0.25">
      <c r="A25" s="47" t="s">
        <v>10</v>
      </c>
      <c r="B25" s="47"/>
      <c r="C25" s="47"/>
      <c r="D25" s="47"/>
      <c r="E25" s="61"/>
      <c r="F25" s="61"/>
      <c r="G25" s="47"/>
      <c r="H25" s="63" t="s">
        <v>67</v>
      </c>
      <c r="I25" s="62">
        <f>I30+I37+I44+I50+I55+I64+I84+I88+I92</f>
        <v>-41526.354999999967</v>
      </c>
    </row>
    <row r="26" spans="1:12" x14ac:dyDescent="0.25">
      <c r="A26" s="14" t="s">
        <v>9</v>
      </c>
      <c r="B26" s="14"/>
      <c r="G26" s="6" t="s">
        <v>11</v>
      </c>
      <c r="H26" s="6"/>
    </row>
    <row r="27" spans="1:12" x14ac:dyDescent="0.25">
      <c r="A27" t="s">
        <v>1</v>
      </c>
      <c r="C27" s="9">
        <f>I19</f>
        <v>2522</v>
      </c>
      <c r="D27" s="9"/>
      <c r="E27" s="6" t="s">
        <v>12</v>
      </c>
      <c r="G27" s="55">
        <v>66.86</v>
      </c>
      <c r="H27" s="15" t="s">
        <v>22</v>
      </c>
      <c r="I27" s="17">
        <f>C27*G27</f>
        <v>168620.92</v>
      </c>
      <c r="J27" s="24" t="s">
        <v>57</v>
      </c>
    </row>
    <row r="28" spans="1:12" x14ac:dyDescent="0.25">
      <c r="A28" t="s">
        <v>2</v>
      </c>
      <c r="C28" s="9">
        <f t="shared" ref="C28:C29" si="3">I20</f>
        <v>104</v>
      </c>
      <c r="D28" s="9"/>
      <c r="E28" s="6" t="s">
        <v>12</v>
      </c>
      <c r="G28" s="55">
        <v>42.09</v>
      </c>
      <c r="H28" s="15" t="s">
        <v>22</v>
      </c>
      <c r="I28" s="17">
        <f t="shared" ref="I28:I29" si="4">C28*G28</f>
        <v>4377.3600000000006</v>
      </c>
      <c r="J28" s="24" t="s">
        <v>57</v>
      </c>
    </row>
    <row r="29" spans="1:12" x14ac:dyDescent="0.25">
      <c r="A29" s="1" t="s">
        <v>3</v>
      </c>
      <c r="B29" s="1"/>
      <c r="C29" s="11">
        <f t="shared" si="3"/>
        <v>-5200</v>
      </c>
      <c r="D29" s="11"/>
      <c r="E29" s="10" t="s">
        <v>12</v>
      </c>
      <c r="F29" s="10"/>
      <c r="G29" s="56">
        <v>33.83</v>
      </c>
      <c r="H29" s="18" t="s">
        <v>22</v>
      </c>
      <c r="I29" s="19">
        <f t="shared" si="4"/>
        <v>-175916</v>
      </c>
      <c r="J29" s="24" t="s">
        <v>57</v>
      </c>
    </row>
    <row r="30" spans="1:12" x14ac:dyDescent="0.25">
      <c r="I30" s="26">
        <f>SUM(I27:I29)</f>
        <v>-2917.7199999999721</v>
      </c>
    </row>
    <row r="32" spans="1:12" x14ac:dyDescent="0.25">
      <c r="A32" s="14" t="s">
        <v>13</v>
      </c>
    </row>
    <row r="33" spans="1:22" x14ac:dyDescent="0.25">
      <c r="A33" t="s">
        <v>14</v>
      </c>
      <c r="C33" s="9"/>
      <c r="D33" s="9"/>
    </row>
    <row r="34" spans="1:22" x14ac:dyDescent="0.25">
      <c r="A34" t="s">
        <v>18</v>
      </c>
      <c r="C34" s="9">
        <f>I22</f>
        <v>-2574</v>
      </c>
      <c r="D34" s="9"/>
      <c r="E34" s="6" t="s">
        <v>15</v>
      </c>
      <c r="G34" s="55">
        <v>2.69</v>
      </c>
      <c r="H34" s="28" t="s">
        <v>22</v>
      </c>
      <c r="I34" s="17">
        <f>C34*G34</f>
        <v>-6924.0599999999995</v>
      </c>
      <c r="J34" s="24" t="s">
        <v>54</v>
      </c>
      <c r="K34" s="24"/>
    </row>
    <row r="35" spans="1:22" x14ac:dyDescent="0.25">
      <c r="A35" t="s">
        <v>16</v>
      </c>
      <c r="C35" s="9">
        <f>C34</f>
        <v>-2574</v>
      </c>
      <c r="D35" s="9"/>
      <c r="E35" s="6" t="s">
        <v>15</v>
      </c>
      <c r="G35" s="55">
        <v>3.14</v>
      </c>
      <c r="H35" s="28" t="s">
        <v>22</v>
      </c>
      <c r="I35" s="17">
        <f t="shared" ref="I35:I36" si="5">C35*G35</f>
        <v>-8082.3600000000006</v>
      </c>
      <c r="J35" s="24" t="s">
        <v>54</v>
      </c>
      <c r="K35" s="24"/>
    </row>
    <row r="36" spans="1:22" ht="63" x14ac:dyDescent="0.25">
      <c r="A36" s="20" t="s">
        <v>17</v>
      </c>
      <c r="B36" s="20"/>
      <c r="C36" s="21">
        <f>C35</f>
        <v>-2574</v>
      </c>
      <c r="D36" s="21"/>
      <c r="E36" s="10" t="s">
        <v>15</v>
      </c>
      <c r="F36" s="10"/>
      <c r="G36" s="56">
        <v>2.85</v>
      </c>
      <c r="H36" s="18" t="s">
        <v>22</v>
      </c>
      <c r="I36" s="23">
        <f t="shared" si="5"/>
        <v>-7335.9000000000005</v>
      </c>
      <c r="J36" s="53" t="s">
        <v>54</v>
      </c>
      <c r="K36" s="25"/>
    </row>
    <row r="37" spans="1:22" x14ac:dyDescent="0.25">
      <c r="C37" s="16"/>
      <c r="D37" s="16"/>
      <c r="G37" s="16"/>
      <c r="H37" s="28"/>
      <c r="I37" s="26">
        <f>SUM(I34:I36)</f>
        <v>-22342.32</v>
      </c>
    </row>
    <row r="39" spans="1:22" x14ac:dyDescent="0.25">
      <c r="A39" t="s">
        <v>19</v>
      </c>
    </row>
    <row r="40" spans="1:22" x14ac:dyDescent="0.25">
      <c r="A40" t="s">
        <v>20</v>
      </c>
    </row>
    <row r="41" spans="1:22" x14ac:dyDescent="0.25">
      <c r="A41" s="9">
        <f>20800</f>
        <v>20800</v>
      </c>
      <c r="B41" s="6" t="s">
        <v>21</v>
      </c>
      <c r="C41" s="27">
        <f>I8</f>
        <v>10244</v>
      </c>
      <c r="D41" s="27" t="s">
        <v>22</v>
      </c>
      <c r="E41" s="9">
        <f>A41-C41</f>
        <v>10556</v>
      </c>
      <c r="F41" s="4" t="s">
        <v>12</v>
      </c>
      <c r="G41" s="55">
        <v>1.1200000000000001</v>
      </c>
      <c r="H41" s="28" t="s">
        <v>22</v>
      </c>
      <c r="I41" s="17">
        <f>E41*G41</f>
        <v>11822.720000000001</v>
      </c>
    </row>
    <row r="42" spans="1:22" x14ac:dyDescent="0.25">
      <c r="A42" t="s">
        <v>23</v>
      </c>
      <c r="G42" s="55"/>
    </row>
    <row r="43" spans="1:22" x14ac:dyDescent="0.25">
      <c r="A43" s="11">
        <f>20800</f>
        <v>20800</v>
      </c>
      <c r="B43" s="10" t="s">
        <v>21</v>
      </c>
      <c r="C43" s="29">
        <f>I16</f>
        <v>7670</v>
      </c>
      <c r="D43" s="29" t="s">
        <v>22</v>
      </c>
      <c r="E43" s="11">
        <f>A43-C43</f>
        <v>13130</v>
      </c>
      <c r="F43" s="22" t="s">
        <v>12</v>
      </c>
      <c r="G43" s="56">
        <v>1.1200000000000001</v>
      </c>
      <c r="H43" s="30" t="s">
        <v>22</v>
      </c>
      <c r="I43" s="19">
        <f>E43*G43</f>
        <v>14705.600000000002</v>
      </c>
    </row>
    <row r="44" spans="1:22" x14ac:dyDescent="0.25">
      <c r="I44" s="26">
        <f>I43-I41</f>
        <v>2882.880000000001</v>
      </c>
    </row>
    <row r="45" spans="1:22" x14ac:dyDescent="0.25">
      <c r="A45" s="14" t="s">
        <v>59</v>
      </c>
    </row>
    <row r="46" spans="1:22" x14ac:dyDescent="0.25">
      <c r="A46" s="47" t="s">
        <v>63</v>
      </c>
      <c r="B46" s="48"/>
      <c r="C46" s="48"/>
      <c r="D46" s="48"/>
      <c r="E46" s="57" t="s">
        <v>62</v>
      </c>
      <c r="F46" s="49"/>
      <c r="G46" s="48"/>
      <c r="H46" s="50"/>
      <c r="I46" s="48"/>
      <c r="V46" t="s">
        <v>61</v>
      </c>
    </row>
    <row r="47" spans="1:22" x14ac:dyDescent="0.25">
      <c r="A47" s="14" t="s">
        <v>51</v>
      </c>
      <c r="V47" t="s">
        <v>62</v>
      </c>
    </row>
    <row r="48" spans="1:22" x14ac:dyDescent="0.25">
      <c r="A48" s="14" t="s">
        <v>24</v>
      </c>
      <c r="B48" s="60" t="s">
        <v>62</v>
      </c>
    </row>
    <row r="49" spans="1:11" x14ac:dyDescent="0.25">
      <c r="A49" t="s">
        <v>26</v>
      </c>
    </row>
    <row r="50" spans="1:11" x14ac:dyDescent="0.25">
      <c r="A50" s="6">
        <f>IF(E46="non",0,IF(B48="oui",C16,0))</f>
        <v>0</v>
      </c>
      <c r="B50" s="4" t="s">
        <v>21</v>
      </c>
      <c r="C50" s="6">
        <f>IF(E46="non",0,IF(B48="oui",C8,0))</f>
        <v>0</v>
      </c>
      <c r="D50" s="6" t="s">
        <v>22</v>
      </c>
      <c r="E50" s="4">
        <f>A50-C50</f>
        <v>0</v>
      </c>
      <c r="F50" s="4" t="s">
        <v>12</v>
      </c>
      <c r="G50" s="55">
        <v>587.83000000000004</v>
      </c>
      <c r="H50" s="4" t="s">
        <v>22</v>
      </c>
      <c r="I50" s="26">
        <f>E50*G50</f>
        <v>0</v>
      </c>
    </row>
    <row r="51" spans="1:11" x14ac:dyDescent="0.25">
      <c r="I51" s="39"/>
    </row>
    <row r="52" spans="1:11" x14ac:dyDescent="0.25">
      <c r="A52" s="14" t="s">
        <v>25</v>
      </c>
      <c r="B52" s="60" t="s">
        <v>62</v>
      </c>
      <c r="I52" s="39"/>
    </row>
    <row r="53" spans="1:11" x14ac:dyDescent="0.25">
      <c r="A53" t="s">
        <v>52</v>
      </c>
      <c r="I53" s="39"/>
    </row>
    <row r="54" spans="1:11" x14ac:dyDescent="0.25">
      <c r="A54" t="s">
        <v>26</v>
      </c>
      <c r="I54" s="39"/>
    </row>
    <row r="55" spans="1:11" x14ac:dyDescent="0.25">
      <c r="A55" s="6">
        <f>IF(E46="non",0,IF(B52="oui",C16,0))</f>
        <v>0</v>
      </c>
      <c r="B55" s="4" t="s">
        <v>21</v>
      </c>
      <c r="C55" s="6">
        <f>IF(E46="non",0,IF(B52="oui",C8,0))</f>
        <v>0</v>
      </c>
      <c r="D55" s="6" t="s">
        <v>22</v>
      </c>
      <c r="E55" s="4">
        <f>A55-C55</f>
        <v>0</v>
      </c>
      <c r="F55" s="4" t="s">
        <v>12</v>
      </c>
      <c r="G55" s="55">
        <v>587.83000000000004</v>
      </c>
      <c r="H55" s="4" t="s">
        <v>22</v>
      </c>
      <c r="I55" s="26">
        <f>E55*G55</f>
        <v>0</v>
      </c>
    </row>
    <row r="56" spans="1:11" x14ac:dyDescent="0.25">
      <c r="A56" t="s">
        <v>19</v>
      </c>
    </row>
    <row r="57" spans="1:11" ht="47.25" x14ac:dyDescent="0.25">
      <c r="C57" s="12" t="s">
        <v>27</v>
      </c>
      <c r="D57" s="4"/>
      <c r="E57" s="7" t="s">
        <v>28</v>
      </c>
    </row>
    <row r="58" spans="1:11" x14ac:dyDescent="0.25">
      <c r="A58" t="s">
        <v>29</v>
      </c>
      <c r="C58" s="4">
        <v>1</v>
      </c>
      <c r="D58" s="4"/>
      <c r="E58" s="31">
        <v>1941</v>
      </c>
    </row>
    <row r="59" spans="1:11" x14ac:dyDescent="0.25">
      <c r="A59" t="s">
        <v>30</v>
      </c>
      <c r="C59" s="4">
        <v>2</v>
      </c>
      <c r="D59" s="4"/>
      <c r="E59" s="31">
        <v>1665</v>
      </c>
    </row>
    <row r="60" spans="1:11" x14ac:dyDescent="0.25">
      <c r="A60" t="s">
        <v>31</v>
      </c>
      <c r="C60" s="4">
        <v>3</v>
      </c>
      <c r="D60" s="4"/>
      <c r="E60" s="31">
        <v>1665</v>
      </c>
    </row>
    <row r="61" spans="1:11" x14ac:dyDescent="0.25">
      <c r="A61" t="s">
        <v>32</v>
      </c>
      <c r="C61" s="4">
        <v>4</v>
      </c>
      <c r="D61" s="4"/>
      <c r="E61" s="31">
        <v>935</v>
      </c>
    </row>
    <row r="62" spans="1:11" x14ac:dyDescent="0.25">
      <c r="A62" t="s">
        <v>33</v>
      </c>
      <c r="C62" s="4">
        <v>5</v>
      </c>
      <c r="D62" s="4"/>
      <c r="E62" s="31">
        <v>821</v>
      </c>
    </row>
    <row r="63" spans="1:11" x14ac:dyDescent="0.25">
      <c r="C63" s="4"/>
      <c r="D63" s="4"/>
      <c r="E63" s="31"/>
    </row>
    <row r="64" spans="1:11" x14ac:dyDescent="0.25">
      <c r="A64" t="s">
        <v>34</v>
      </c>
      <c r="C64" s="2">
        <v>1</v>
      </c>
      <c r="E64" s="31">
        <f>VLOOKUP(C64,C58:E62,3)</f>
        <v>1941</v>
      </c>
      <c r="F64" s="6" t="s">
        <v>12</v>
      </c>
      <c r="G64" s="4">
        <f>E55</f>
        <v>0</v>
      </c>
      <c r="H64" s="4" t="s">
        <v>22</v>
      </c>
      <c r="I64" s="26">
        <f>E64*G64</f>
        <v>0</v>
      </c>
      <c r="K64" s="24" t="s">
        <v>66</v>
      </c>
    </row>
    <row r="65" spans="1:52" x14ac:dyDescent="0.25">
      <c r="K65" s="24" t="s">
        <v>55</v>
      </c>
    </row>
    <row r="67" spans="1:52" x14ac:dyDescent="0.25">
      <c r="A67" s="14" t="s">
        <v>53</v>
      </c>
    </row>
    <row r="68" spans="1:52" x14ac:dyDescent="0.25">
      <c r="A68" t="s">
        <v>35</v>
      </c>
      <c r="E68" s="54">
        <v>2358.1999999999998</v>
      </c>
      <c r="F68" s="6" t="s">
        <v>12</v>
      </c>
      <c r="G68" s="4">
        <f>IF(C16&gt;C8,AZ68,AR68)</f>
        <v>0</v>
      </c>
      <c r="H68" s="4" t="s">
        <v>22</v>
      </c>
      <c r="I68" s="32">
        <f t="shared" ref="I68:I69" si="6">E68*G68</f>
        <v>0</v>
      </c>
      <c r="AO68">
        <f>IF(C16&lt;60,0)</f>
        <v>0</v>
      </c>
      <c r="AP68">
        <f>IF(AO68=0,C16-60,0)</f>
        <v>-30</v>
      </c>
      <c r="AQ68">
        <f>IF(G64=0,E50,G64)</f>
        <v>0</v>
      </c>
      <c r="AR68">
        <f>MAX(AP68,AQ68)</f>
        <v>0</v>
      </c>
      <c r="AX68">
        <f>IF(C8&lt;60,60-C8,0)</f>
        <v>20</v>
      </c>
      <c r="AY68">
        <f>MIN(AX68,AX69)</f>
        <v>-10</v>
      </c>
      <c r="AZ68">
        <f>IF(C8&lt;60,AY68,0)</f>
        <v>-10</v>
      </c>
    </row>
    <row r="69" spans="1:52" x14ac:dyDescent="0.25">
      <c r="A69" s="1" t="s">
        <v>36</v>
      </c>
      <c r="B69" s="1"/>
      <c r="C69" s="1"/>
      <c r="D69" s="1"/>
      <c r="E69" s="56">
        <v>2078.42</v>
      </c>
      <c r="F69" s="10" t="s">
        <v>12</v>
      </c>
      <c r="G69" s="22">
        <f>IF(C16&gt;C8,AZ69,AR69)</f>
        <v>0</v>
      </c>
      <c r="H69" s="22" t="s">
        <v>22</v>
      </c>
      <c r="I69" s="33">
        <f t="shared" si="6"/>
        <v>0</v>
      </c>
      <c r="AR69">
        <f>AQ68-AR68</f>
        <v>0</v>
      </c>
      <c r="AX69">
        <f>C16-C8</f>
        <v>-10</v>
      </c>
      <c r="AY69">
        <f>IF(AX69-AX68&lt;0,0,AX69-AX68)</f>
        <v>0</v>
      </c>
      <c r="AZ69">
        <f>IF(C16&gt;=60,AY69,0)</f>
        <v>0</v>
      </c>
    </row>
    <row r="70" spans="1:52" x14ac:dyDescent="0.25">
      <c r="I70" s="26">
        <f>SUM(I68:I69)</f>
        <v>0</v>
      </c>
    </row>
    <row r="72" spans="1:52" x14ac:dyDescent="0.25">
      <c r="A72" s="24" t="s">
        <v>58</v>
      </c>
    </row>
    <row r="73" spans="1:52" x14ac:dyDescent="0.25">
      <c r="A73" s="47" t="s">
        <v>60</v>
      </c>
      <c r="B73" s="48"/>
      <c r="C73" s="48"/>
      <c r="D73" s="48"/>
      <c r="E73" s="49"/>
      <c r="F73" s="49"/>
      <c r="G73" s="48"/>
      <c r="H73" s="50"/>
      <c r="I73" s="48"/>
    </row>
    <row r="74" spans="1:52" x14ac:dyDescent="0.25">
      <c r="A74" t="s">
        <v>50</v>
      </c>
    </row>
    <row r="75" spans="1:52" x14ac:dyDescent="0.25">
      <c r="A75" t="s">
        <v>37</v>
      </c>
    </row>
    <row r="77" spans="1:52" ht="63" x14ac:dyDescent="0.25">
      <c r="B77" t="s">
        <v>46</v>
      </c>
      <c r="C77" s="12" t="s">
        <v>41</v>
      </c>
      <c r="E77" s="12" t="s">
        <v>40</v>
      </c>
      <c r="F77"/>
      <c r="G77" s="12" t="s">
        <v>39</v>
      </c>
      <c r="I77" t="s">
        <v>43</v>
      </c>
      <c r="K77" s="5" t="s">
        <v>44</v>
      </c>
    </row>
    <row r="78" spans="1:52" x14ac:dyDescent="0.25">
      <c r="A78" t="s">
        <v>38</v>
      </c>
      <c r="B78" s="4">
        <f>IF(E46="non",C8,0)</f>
        <v>40</v>
      </c>
      <c r="C78" s="9">
        <f>IF(E46="non",I16,0)</f>
        <v>7670</v>
      </c>
    </row>
    <row r="79" spans="1:52" x14ac:dyDescent="0.25">
      <c r="A79" s="1" t="s">
        <v>45</v>
      </c>
      <c r="B79" s="3">
        <v>0</v>
      </c>
      <c r="C79" s="35">
        <f>B79*260</f>
        <v>0</v>
      </c>
      <c r="D79" s="1"/>
      <c r="E79" s="10"/>
      <c r="F79" s="10"/>
      <c r="G79" s="1"/>
      <c r="H79" s="22"/>
      <c r="I79" s="1"/>
      <c r="J79" s="1"/>
      <c r="K79" s="1"/>
    </row>
    <row r="80" spans="1:52" x14ac:dyDescent="0.25">
      <c r="C80" s="9">
        <f>SUM(C78:C79)</f>
        <v>7670</v>
      </c>
      <c r="D80" s="4" t="s">
        <v>42</v>
      </c>
      <c r="E80" s="9">
        <f>B78*260</f>
        <v>10400</v>
      </c>
      <c r="F80" s="4" t="s">
        <v>22</v>
      </c>
      <c r="G80" s="34">
        <f>IF(C80=0,0,C80/E80)</f>
        <v>0.73750000000000004</v>
      </c>
      <c r="H80" s="6" t="s">
        <v>21</v>
      </c>
      <c r="I80" s="36">
        <v>0.9</v>
      </c>
      <c r="J80" t="s">
        <v>22</v>
      </c>
      <c r="K80" s="34">
        <f>IF(G80=0,0,IF(G80&gt;I80,0,G80-I80))</f>
        <v>-0.16249999999999998</v>
      </c>
    </row>
    <row r="82" spans="1:11" x14ac:dyDescent="0.25">
      <c r="A82" s="14" t="s">
        <v>10</v>
      </c>
    </row>
    <row r="83" spans="1:11" x14ac:dyDescent="0.25">
      <c r="A83" s="14" t="s">
        <v>51</v>
      </c>
    </row>
    <row r="84" spans="1:11" x14ac:dyDescent="0.25">
      <c r="A84" t="s">
        <v>24</v>
      </c>
      <c r="B84" s="60" t="s">
        <v>61</v>
      </c>
      <c r="C84" s="37">
        <f>K80</f>
        <v>-0.16249999999999998</v>
      </c>
      <c r="D84" s="4" t="s">
        <v>12</v>
      </c>
      <c r="E84" s="6">
        <f>IF(B84="oui",B78,0)</f>
        <v>40</v>
      </c>
      <c r="F84" s="6" t="s">
        <v>12</v>
      </c>
      <c r="G84" s="55">
        <f>G50</f>
        <v>587.83000000000004</v>
      </c>
      <c r="H84" s="4" t="s">
        <v>22</v>
      </c>
      <c r="I84" s="26">
        <f>C84*E84*G84</f>
        <v>-3820.8949999999995</v>
      </c>
    </row>
    <row r="85" spans="1:11" x14ac:dyDescent="0.25">
      <c r="C85" s="37"/>
      <c r="D85" s="4"/>
      <c r="G85" s="55"/>
      <c r="I85" s="26"/>
    </row>
    <row r="86" spans="1:11" x14ac:dyDescent="0.25">
      <c r="A86" t="s">
        <v>25</v>
      </c>
      <c r="B86" s="60" t="s">
        <v>62</v>
      </c>
      <c r="C86" s="37">
        <f>C84</f>
        <v>-0.16249999999999998</v>
      </c>
      <c r="D86" s="4" t="s">
        <v>12</v>
      </c>
      <c r="E86" s="6">
        <f>IF(B86="oui",B78,0)</f>
        <v>0</v>
      </c>
      <c r="F86" s="6" t="s">
        <v>12</v>
      </c>
      <c r="G86" s="55">
        <f>G84</f>
        <v>587.83000000000004</v>
      </c>
      <c r="H86" s="4" t="s">
        <v>22</v>
      </c>
      <c r="I86" s="26">
        <f>C86*E86*G86</f>
        <v>0</v>
      </c>
    </row>
    <row r="87" spans="1:11" x14ac:dyDescent="0.25">
      <c r="A87" s="1"/>
      <c r="B87" s="1"/>
      <c r="C87" s="38">
        <f>C86</f>
        <v>-0.16249999999999998</v>
      </c>
      <c r="D87" s="22" t="s">
        <v>12</v>
      </c>
      <c r="E87" s="10">
        <f>IF(B86="oui",B78,0)</f>
        <v>0</v>
      </c>
      <c r="F87" s="10" t="s">
        <v>12</v>
      </c>
      <c r="G87" s="33">
        <f>E64</f>
        <v>1941</v>
      </c>
      <c r="H87" s="22" t="s">
        <v>22</v>
      </c>
      <c r="I87" s="58">
        <f>C87*E87*G87</f>
        <v>0</v>
      </c>
    </row>
    <row r="88" spans="1:11" x14ac:dyDescent="0.25">
      <c r="I88" s="26">
        <f>SUM(I86:I87)</f>
        <v>0</v>
      </c>
      <c r="K88" s="24" t="s">
        <v>66</v>
      </c>
    </row>
    <row r="89" spans="1:11" x14ac:dyDescent="0.25">
      <c r="A89" s="14" t="s">
        <v>53</v>
      </c>
    </row>
    <row r="90" spans="1:11" x14ac:dyDescent="0.25">
      <c r="A90" t="s">
        <v>35</v>
      </c>
      <c r="C90" s="37">
        <f>C86</f>
        <v>-0.16249999999999998</v>
      </c>
      <c r="D90" s="4" t="s">
        <v>12</v>
      </c>
      <c r="E90" s="6">
        <f>MIN(E84,60)</f>
        <v>40</v>
      </c>
      <c r="F90" s="6" t="s">
        <v>12</v>
      </c>
      <c r="G90" s="55">
        <v>2358.1999999999998</v>
      </c>
      <c r="H90" s="4" t="s">
        <v>22</v>
      </c>
      <c r="I90" s="26">
        <f t="shared" ref="I90:I91" si="7">C90*E90*G90</f>
        <v>-15328.299999999997</v>
      </c>
    </row>
    <row r="91" spans="1:11" x14ac:dyDescent="0.25">
      <c r="A91" s="1" t="s">
        <v>36</v>
      </c>
      <c r="B91" s="1"/>
      <c r="C91" s="38">
        <f>C90</f>
        <v>-0.16249999999999998</v>
      </c>
      <c r="D91" s="22" t="s">
        <v>12</v>
      </c>
      <c r="E91" s="10">
        <f>IF(E84&gt;60,E84-E90,0)</f>
        <v>0</v>
      </c>
      <c r="F91" s="10" t="s">
        <v>12</v>
      </c>
      <c r="G91" s="56">
        <v>2078.42</v>
      </c>
      <c r="H91" s="22" t="s">
        <v>22</v>
      </c>
      <c r="I91" s="58">
        <f t="shared" si="7"/>
        <v>0</v>
      </c>
    </row>
    <row r="92" spans="1:11" x14ac:dyDescent="0.25">
      <c r="I92" s="26">
        <f>SUM(I90:I91)</f>
        <v>-15328.299999999997</v>
      </c>
    </row>
  </sheetData>
  <dataValidations count="2">
    <dataValidation type="list" allowBlank="1" showInputMessage="1" showErrorMessage="1" sqref="C64" xr:uid="{14112985-A511-324C-A4E6-399A210E31E5}">
      <formula1>$C$58:$C$62</formula1>
    </dataValidation>
    <dataValidation type="list" allowBlank="1" showInputMessage="1" showErrorMessage="1" sqref="E46 B48 B52 B84 B86" xr:uid="{204BEF98-56BC-7C48-B4A5-AE596670FE0E}">
      <formula1>$V$46:$V$47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780A0-B6F6-B046-BF66-404D545B8363}">
  <dimension ref="A1:AZ92"/>
  <sheetViews>
    <sheetView topLeftCell="A35" zoomScaleNormal="100" workbookViewId="0">
      <selection activeCell="A68" sqref="A68:XFD69"/>
    </sheetView>
  </sheetViews>
  <sheetFormatPr baseColWidth="10" defaultRowHeight="15.75" x14ac:dyDescent="0.25"/>
  <cols>
    <col min="1" max="1" width="35.875" customWidth="1"/>
    <col min="2" max="2" width="5.625" customWidth="1"/>
    <col min="3" max="3" width="14.375" customWidth="1"/>
    <col min="4" max="4" width="3.125" bestFit="1" customWidth="1"/>
    <col min="5" max="5" width="14.125" style="6" customWidth="1"/>
    <col min="6" max="6" width="3.875" style="6" customWidth="1"/>
    <col min="7" max="7" width="11.625" customWidth="1"/>
    <col min="8" max="8" width="5.875" style="4" customWidth="1"/>
    <col min="9" max="9" width="13" customWidth="1"/>
    <col min="10" max="10" width="2.5" customWidth="1"/>
    <col min="11" max="12" width="12.375" customWidth="1"/>
    <col min="14" max="14" width="12.875" customWidth="1"/>
  </cols>
  <sheetData>
    <row r="1" spans="1:14" x14ac:dyDescent="0.25">
      <c r="A1" s="14" t="s">
        <v>0</v>
      </c>
      <c r="B1" s="14"/>
      <c r="C1" s="24" t="s">
        <v>64</v>
      </c>
    </row>
    <row r="2" spans="1:14" x14ac:dyDescent="0.25">
      <c r="C2" s="24" t="s">
        <v>65</v>
      </c>
    </row>
    <row r="3" spans="1:14" x14ac:dyDescent="0.25">
      <c r="A3" s="40" t="s">
        <v>6</v>
      </c>
      <c r="B3" s="40"/>
      <c r="C3" s="41"/>
      <c r="D3" s="41"/>
      <c r="E3" s="42"/>
      <c r="F3" s="42"/>
      <c r="G3" s="41"/>
      <c r="H3" s="43"/>
      <c r="I3" s="41"/>
    </row>
    <row r="4" spans="1:14" ht="47.25" x14ac:dyDescent="0.25">
      <c r="C4" s="12" t="s">
        <v>7</v>
      </c>
      <c r="D4" s="12"/>
      <c r="E4" s="7" t="s">
        <v>47</v>
      </c>
      <c r="F4" s="7"/>
      <c r="G4" s="12" t="s">
        <v>5</v>
      </c>
      <c r="H4" s="12"/>
      <c r="I4" s="12" t="s">
        <v>8</v>
      </c>
      <c r="J4" s="12"/>
      <c r="K4" s="12"/>
      <c r="L4" s="7"/>
      <c r="M4" s="12"/>
      <c r="N4" s="12"/>
    </row>
    <row r="5" spans="1:14" x14ac:dyDescent="0.25">
      <c r="A5" t="s">
        <v>1</v>
      </c>
      <c r="C5" s="2">
        <v>10</v>
      </c>
      <c r="D5" s="12" t="s">
        <v>12</v>
      </c>
      <c r="E5" s="8">
        <v>0.95</v>
      </c>
      <c r="F5" s="6" t="s">
        <v>12</v>
      </c>
      <c r="G5" s="6">
        <v>260</v>
      </c>
      <c r="H5" s="6" t="s">
        <v>22</v>
      </c>
      <c r="I5" s="9">
        <f>C5*G5*E5</f>
        <v>2470</v>
      </c>
      <c r="J5" s="9"/>
      <c r="K5" s="4"/>
      <c r="L5" s="6"/>
      <c r="M5" s="6"/>
      <c r="N5" s="9"/>
    </row>
    <row r="6" spans="1:14" x14ac:dyDescent="0.25">
      <c r="A6" t="s">
        <v>2</v>
      </c>
      <c r="C6" s="2">
        <v>30</v>
      </c>
      <c r="D6" s="12" t="s">
        <v>12</v>
      </c>
      <c r="E6" s="8">
        <v>0.95</v>
      </c>
      <c r="F6" s="6" t="s">
        <v>12</v>
      </c>
      <c r="G6" s="6">
        <v>260</v>
      </c>
      <c r="H6" s="6" t="s">
        <v>22</v>
      </c>
      <c r="I6" s="9">
        <f t="shared" ref="I6:I7" si="0">C6*G6*E6</f>
        <v>7410</v>
      </c>
      <c r="J6" s="9"/>
      <c r="K6" s="4"/>
      <c r="L6" s="6"/>
      <c r="M6" s="6"/>
      <c r="N6" s="9"/>
    </row>
    <row r="7" spans="1:14" x14ac:dyDescent="0.25">
      <c r="A7" s="1" t="s">
        <v>3</v>
      </c>
      <c r="B7" s="1"/>
      <c r="C7" s="3">
        <v>20</v>
      </c>
      <c r="D7" s="51" t="s">
        <v>12</v>
      </c>
      <c r="E7" s="52">
        <v>0.95</v>
      </c>
      <c r="F7" s="10" t="s">
        <v>12</v>
      </c>
      <c r="G7" s="10">
        <v>260</v>
      </c>
      <c r="H7" s="10" t="s">
        <v>22</v>
      </c>
      <c r="I7" s="11">
        <f t="shared" si="0"/>
        <v>4940</v>
      </c>
      <c r="J7" s="9"/>
      <c r="K7" s="4"/>
      <c r="L7" s="6"/>
      <c r="M7" s="6"/>
      <c r="N7" s="9"/>
    </row>
    <row r="8" spans="1:14" x14ac:dyDescent="0.25">
      <c r="A8" t="s">
        <v>4</v>
      </c>
      <c r="C8" s="4">
        <f>SUM(C5:C7)</f>
        <v>60</v>
      </c>
      <c r="D8" s="4"/>
      <c r="E8" s="13">
        <f>IF(I8=0,0,I8/(C8*G8))</f>
        <v>0.95</v>
      </c>
      <c r="G8" s="6">
        <v>260</v>
      </c>
      <c r="H8" s="6"/>
      <c r="I8" s="59">
        <f>SUM(I5:I7)</f>
        <v>14820</v>
      </c>
      <c r="J8" s="9"/>
      <c r="K8" s="4"/>
      <c r="L8" s="13"/>
      <c r="M8" s="6"/>
      <c r="N8" s="9"/>
    </row>
    <row r="11" spans="1:14" x14ac:dyDescent="0.25">
      <c r="A11" s="44" t="s">
        <v>56</v>
      </c>
      <c r="B11" s="44"/>
      <c r="C11" s="45"/>
      <c r="D11" s="45"/>
      <c r="E11" s="45"/>
      <c r="F11" s="45"/>
      <c r="G11" s="45"/>
      <c r="H11" s="46"/>
      <c r="I11" s="45"/>
    </row>
    <row r="12" spans="1:14" ht="47.25" x14ac:dyDescent="0.25">
      <c r="C12" s="12" t="s">
        <v>7</v>
      </c>
      <c r="D12" s="12"/>
      <c r="E12" s="7" t="s">
        <v>48</v>
      </c>
      <c r="F12" s="7"/>
      <c r="G12" s="12" t="s">
        <v>5</v>
      </c>
      <c r="H12" s="12"/>
      <c r="I12" s="12" t="s">
        <v>8</v>
      </c>
    </row>
    <row r="13" spans="1:14" x14ac:dyDescent="0.25">
      <c r="A13" t="s">
        <v>1</v>
      </c>
      <c r="C13" s="2">
        <v>15</v>
      </c>
      <c r="D13" s="12" t="s">
        <v>12</v>
      </c>
      <c r="E13" s="8">
        <v>0.95</v>
      </c>
      <c r="F13" s="6" t="s">
        <v>12</v>
      </c>
      <c r="G13" s="6">
        <v>260</v>
      </c>
      <c r="H13" s="6" t="s">
        <v>22</v>
      </c>
      <c r="I13" s="9">
        <f>C13*G13*E13</f>
        <v>3705</v>
      </c>
    </row>
    <row r="14" spans="1:14" x14ac:dyDescent="0.25">
      <c r="A14" t="s">
        <v>2</v>
      </c>
      <c r="C14" s="2">
        <v>30</v>
      </c>
      <c r="D14" s="12" t="s">
        <v>12</v>
      </c>
      <c r="E14" s="8">
        <v>0.95</v>
      </c>
      <c r="F14" s="6" t="s">
        <v>12</v>
      </c>
      <c r="G14" s="6">
        <v>260</v>
      </c>
      <c r="H14" s="6" t="s">
        <v>22</v>
      </c>
      <c r="I14" s="9">
        <f t="shared" ref="I14:I15" si="1">C14*G14*E14</f>
        <v>7410</v>
      </c>
    </row>
    <row r="15" spans="1:14" x14ac:dyDescent="0.25">
      <c r="A15" s="1" t="s">
        <v>3</v>
      </c>
      <c r="B15" s="1"/>
      <c r="C15" s="3">
        <v>10</v>
      </c>
      <c r="D15" s="51" t="s">
        <v>12</v>
      </c>
      <c r="E15" s="52">
        <v>0.95</v>
      </c>
      <c r="F15" s="10" t="s">
        <v>12</v>
      </c>
      <c r="G15" s="10">
        <v>260</v>
      </c>
      <c r="H15" s="10" t="s">
        <v>22</v>
      </c>
      <c r="I15" s="11">
        <f t="shared" si="1"/>
        <v>2470</v>
      </c>
    </row>
    <row r="16" spans="1:14" x14ac:dyDescent="0.25">
      <c r="A16" t="s">
        <v>4</v>
      </c>
      <c r="C16" s="4">
        <f>SUM(C13:C15)</f>
        <v>55</v>
      </c>
      <c r="D16" s="4"/>
      <c r="E16" s="13">
        <f>IF(I16=0,0,I16/(C16*G16))</f>
        <v>0.95</v>
      </c>
      <c r="G16" s="6">
        <v>260</v>
      </c>
      <c r="H16" s="6"/>
      <c r="I16" s="59">
        <f>SUM(I13:I15)</f>
        <v>13585</v>
      </c>
    </row>
    <row r="18" spans="1:12" x14ac:dyDescent="0.25">
      <c r="A18" s="14" t="s">
        <v>49</v>
      </c>
      <c r="I18" s="9"/>
    </row>
    <row r="19" spans="1:12" x14ac:dyDescent="0.25">
      <c r="A19" t="s">
        <v>1</v>
      </c>
      <c r="I19" s="9">
        <f>I13-I5</f>
        <v>1235</v>
      </c>
    </row>
    <row r="20" spans="1:12" x14ac:dyDescent="0.25">
      <c r="A20" t="s">
        <v>2</v>
      </c>
      <c r="I20" s="9">
        <f t="shared" ref="I20:I21" si="2">I14-I6</f>
        <v>0</v>
      </c>
    </row>
    <row r="21" spans="1:12" x14ac:dyDescent="0.25">
      <c r="A21" s="1" t="s">
        <v>3</v>
      </c>
      <c r="B21" s="1"/>
      <c r="C21" s="1"/>
      <c r="D21" s="1"/>
      <c r="E21" s="10"/>
      <c r="F21" s="10"/>
      <c r="G21" s="1"/>
      <c r="H21" s="22"/>
      <c r="I21" s="11">
        <f t="shared" si="2"/>
        <v>-2470</v>
      </c>
    </row>
    <row r="22" spans="1:12" x14ac:dyDescent="0.25">
      <c r="A22" t="s">
        <v>4</v>
      </c>
      <c r="I22" s="59">
        <f>SUM(I19:I21)</f>
        <v>-1235</v>
      </c>
    </row>
    <row r="23" spans="1:12" x14ac:dyDescent="0.25">
      <c r="C23" s="4"/>
      <c r="D23" s="4"/>
      <c r="E23" s="4"/>
      <c r="F23" s="4"/>
      <c r="G23" s="4"/>
      <c r="I23" s="4"/>
      <c r="J23" s="4"/>
      <c r="K23" s="4"/>
      <c r="L23" s="4"/>
    </row>
    <row r="24" spans="1:12" x14ac:dyDescent="0.25">
      <c r="C24" s="4"/>
      <c r="D24" s="4"/>
      <c r="E24" s="4"/>
      <c r="F24" s="4"/>
      <c r="G24" s="4"/>
      <c r="I24" s="4"/>
      <c r="J24" s="4"/>
      <c r="K24" s="4"/>
      <c r="L24" s="4"/>
    </row>
    <row r="25" spans="1:12" x14ac:dyDescent="0.25">
      <c r="A25" s="47" t="s">
        <v>10</v>
      </c>
      <c r="B25" s="47"/>
      <c r="C25" s="47"/>
      <c r="D25" s="47"/>
      <c r="E25" s="61"/>
      <c r="F25" s="61"/>
      <c r="G25" s="47"/>
      <c r="H25" s="63" t="s">
        <v>67</v>
      </c>
      <c r="I25" s="62">
        <f>I30+I37+I44+I50+I55+I64+I84+I88+I92</f>
        <v>-19905.604999999985</v>
      </c>
    </row>
    <row r="26" spans="1:12" x14ac:dyDescent="0.25">
      <c r="A26" s="14" t="s">
        <v>9</v>
      </c>
      <c r="B26" s="14"/>
      <c r="G26" s="6" t="s">
        <v>11</v>
      </c>
      <c r="H26" s="6"/>
    </row>
    <row r="27" spans="1:12" x14ac:dyDescent="0.25">
      <c r="A27" t="s">
        <v>1</v>
      </c>
      <c r="C27" s="9">
        <f>I19</f>
        <v>1235</v>
      </c>
      <c r="D27" s="9"/>
      <c r="E27" s="6" t="s">
        <v>12</v>
      </c>
      <c r="G27" s="55">
        <v>66.86</v>
      </c>
      <c r="H27" s="15" t="s">
        <v>22</v>
      </c>
      <c r="I27" s="17">
        <f>C27*G27</f>
        <v>82572.100000000006</v>
      </c>
      <c r="J27" s="24" t="s">
        <v>57</v>
      </c>
    </row>
    <row r="28" spans="1:12" x14ac:dyDescent="0.25">
      <c r="A28" t="s">
        <v>2</v>
      </c>
      <c r="C28" s="9">
        <f t="shared" ref="C28:C29" si="3">I20</f>
        <v>0</v>
      </c>
      <c r="D28" s="9"/>
      <c r="E28" s="6" t="s">
        <v>12</v>
      </c>
      <c r="G28" s="55">
        <v>42.09</v>
      </c>
      <c r="H28" s="15" t="s">
        <v>22</v>
      </c>
      <c r="I28" s="17">
        <f t="shared" ref="I28:I29" si="4">C28*G28</f>
        <v>0</v>
      </c>
      <c r="J28" s="24" t="s">
        <v>57</v>
      </c>
    </row>
    <row r="29" spans="1:12" x14ac:dyDescent="0.25">
      <c r="A29" s="1" t="s">
        <v>3</v>
      </c>
      <c r="B29" s="1"/>
      <c r="C29" s="11">
        <f t="shared" si="3"/>
        <v>-2470</v>
      </c>
      <c r="D29" s="11"/>
      <c r="E29" s="10" t="s">
        <v>12</v>
      </c>
      <c r="F29" s="10"/>
      <c r="G29" s="56">
        <v>33.83</v>
      </c>
      <c r="H29" s="18" t="s">
        <v>22</v>
      </c>
      <c r="I29" s="19">
        <f t="shared" si="4"/>
        <v>-83560.099999999991</v>
      </c>
      <c r="J29" s="24" t="s">
        <v>57</v>
      </c>
    </row>
    <row r="30" spans="1:12" x14ac:dyDescent="0.25">
      <c r="I30" s="26">
        <f>SUM(I27:I29)</f>
        <v>-987.99999999998545</v>
      </c>
    </row>
    <row r="32" spans="1:12" x14ac:dyDescent="0.25">
      <c r="A32" s="14" t="s">
        <v>13</v>
      </c>
    </row>
    <row r="33" spans="1:22" x14ac:dyDescent="0.25">
      <c r="A33" t="s">
        <v>14</v>
      </c>
      <c r="C33" s="9"/>
      <c r="D33" s="9"/>
    </row>
    <row r="34" spans="1:22" x14ac:dyDescent="0.25">
      <c r="A34" t="s">
        <v>18</v>
      </c>
      <c r="C34" s="9">
        <f>I22</f>
        <v>-1235</v>
      </c>
      <c r="D34" s="9"/>
      <c r="E34" s="6" t="s">
        <v>15</v>
      </c>
      <c r="G34" s="55">
        <v>2.69</v>
      </c>
      <c r="H34" s="28" t="s">
        <v>22</v>
      </c>
      <c r="I34" s="17">
        <f>C34*G34</f>
        <v>-3322.15</v>
      </c>
      <c r="J34" s="24" t="s">
        <v>54</v>
      </c>
      <c r="K34" s="24"/>
    </row>
    <row r="35" spans="1:22" x14ac:dyDescent="0.25">
      <c r="A35" t="s">
        <v>16</v>
      </c>
      <c r="C35" s="9">
        <f>C34</f>
        <v>-1235</v>
      </c>
      <c r="D35" s="9"/>
      <c r="E35" s="6" t="s">
        <v>15</v>
      </c>
      <c r="G35" s="55">
        <v>3.14</v>
      </c>
      <c r="H35" s="28" t="s">
        <v>22</v>
      </c>
      <c r="I35" s="17">
        <f t="shared" ref="I35:I36" si="5">C35*G35</f>
        <v>-3877.9</v>
      </c>
      <c r="J35" s="24" t="s">
        <v>54</v>
      </c>
      <c r="K35" s="24"/>
    </row>
    <row r="36" spans="1:22" ht="63" x14ac:dyDescent="0.25">
      <c r="A36" s="20" t="s">
        <v>17</v>
      </c>
      <c r="B36" s="20"/>
      <c r="C36" s="21">
        <f>C35</f>
        <v>-1235</v>
      </c>
      <c r="D36" s="21"/>
      <c r="E36" s="10" t="s">
        <v>15</v>
      </c>
      <c r="F36" s="10"/>
      <c r="G36" s="56">
        <v>2.85</v>
      </c>
      <c r="H36" s="18" t="s">
        <v>22</v>
      </c>
      <c r="I36" s="23">
        <f t="shared" si="5"/>
        <v>-3519.75</v>
      </c>
      <c r="J36" s="53" t="s">
        <v>54</v>
      </c>
      <c r="K36" s="25"/>
    </row>
    <row r="37" spans="1:22" x14ac:dyDescent="0.25">
      <c r="C37" s="16"/>
      <c r="D37" s="16"/>
      <c r="G37" s="16"/>
      <c r="H37" s="28"/>
      <c r="I37" s="26">
        <f>SUM(I34:I36)</f>
        <v>-10719.8</v>
      </c>
    </row>
    <row r="39" spans="1:22" x14ac:dyDescent="0.25">
      <c r="A39" t="s">
        <v>19</v>
      </c>
    </row>
    <row r="40" spans="1:22" x14ac:dyDescent="0.25">
      <c r="A40" t="s">
        <v>20</v>
      </c>
    </row>
    <row r="41" spans="1:22" x14ac:dyDescent="0.25">
      <c r="A41" s="9">
        <f>20800</f>
        <v>20800</v>
      </c>
      <c r="B41" s="6" t="s">
        <v>21</v>
      </c>
      <c r="C41" s="27">
        <f>I8</f>
        <v>14820</v>
      </c>
      <c r="D41" s="27" t="s">
        <v>22</v>
      </c>
      <c r="E41" s="9">
        <f>A41-C41</f>
        <v>5980</v>
      </c>
      <c r="F41" s="4" t="s">
        <v>12</v>
      </c>
      <c r="G41" s="55">
        <v>1.1200000000000001</v>
      </c>
      <c r="H41" s="28" t="s">
        <v>22</v>
      </c>
      <c r="I41" s="17">
        <f>E41*G41</f>
        <v>6697.6</v>
      </c>
    </row>
    <row r="42" spans="1:22" x14ac:dyDescent="0.25">
      <c r="A42" t="s">
        <v>23</v>
      </c>
      <c r="G42" s="55"/>
    </row>
    <row r="43" spans="1:22" x14ac:dyDescent="0.25">
      <c r="A43" s="11">
        <f>20800</f>
        <v>20800</v>
      </c>
      <c r="B43" s="10" t="s">
        <v>21</v>
      </c>
      <c r="C43" s="29">
        <f>I16</f>
        <v>13585</v>
      </c>
      <c r="D43" s="29" t="s">
        <v>22</v>
      </c>
      <c r="E43" s="11">
        <f>A43-C43</f>
        <v>7215</v>
      </c>
      <c r="F43" s="22" t="s">
        <v>12</v>
      </c>
      <c r="G43" s="56">
        <v>1.1200000000000001</v>
      </c>
      <c r="H43" s="30" t="s">
        <v>22</v>
      </c>
      <c r="I43" s="19">
        <f>E43*G43</f>
        <v>8080.8000000000011</v>
      </c>
    </row>
    <row r="44" spans="1:22" x14ac:dyDescent="0.25">
      <c r="I44" s="26">
        <f>I43-I41</f>
        <v>1383.2000000000007</v>
      </c>
    </row>
    <row r="45" spans="1:22" x14ac:dyDescent="0.25">
      <c r="A45" s="14" t="s">
        <v>59</v>
      </c>
    </row>
    <row r="46" spans="1:22" x14ac:dyDescent="0.25">
      <c r="A46" s="47" t="s">
        <v>63</v>
      </c>
      <c r="B46" s="48"/>
      <c r="C46" s="48"/>
      <c r="D46" s="48"/>
      <c r="E46" s="57" t="s">
        <v>62</v>
      </c>
      <c r="F46" s="49"/>
      <c r="G46" s="48"/>
      <c r="H46" s="50"/>
      <c r="I46" s="48"/>
      <c r="V46" t="s">
        <v>61</v>
      </c>
    </row>
    <row r="47" spans="1:22" x14ac:dyDescent="0.25">
      <c r="A47" s="14" t="s">
        <v>51</v>
      </c>
      <c r="V47" t="s">
        <v>62</v>
      </c>
    </row>
    <row r="48" spans="1:22" x14ac:dyDescent="0.25">
      <c r="A48" s="14" t="s">
        <v>24</v>
      </c>
      <c r="B48" s="60" t="s">
        <v>61</v>
      </c>
    </row>
    <row r="49" spans="1:11" x14ac:dyDescent="0.25">
      <c r="A49" t="s">
        <v>26</v>
      </c>
    </row>
    <row r="50" spans="1:11" x14ac:dyDescent="0.25">
      <c r="A50" s="6">
        <f>IF(E46="non",0,IF(B48="oui",C16,0))</f>
        <v>0</v>
      </c>
      <c r="B50" s="4" t="s">
        <v>21</v>
      </c>
      <c r="C50" s="6">
        <f>IF(E46="non",0,IF(B48="oui",C8,0))</f>
        <v>0</v>
      </c>
      <c r="D50" s="6" t="s">
        <v>22</v>
      </c>
      <c r="E50" s="4">
        <f>A50-C50</f>
        <v>0</v>
      </c>
      <c r="F50" s="4" t="s">
        <v>12</v>
      </c>
      <c r="G50" s="55">
        <v>587.83000000000004</v>
      </c>
      <c r="H50" s="4" t="s">
        <v>22</v>
      </c>
      <c r="I50" s="26">
        <f>E50*G50</f>
        <v>0</v>
      </c>
    </row>
    <row r="51" spans="1:11" x14ac:dyDescent="0.25">
      <c r="I51" s="39"/>
    </row>
    <row r="52" spans="1:11" x14ac:dyDescent="0.25">
      <c r="A52" s="14" t="s">
        <v>25</v>
      </c>
      <c r="B52" s="60" t="s">
        <v>62</v>
      </c>
      <c r="I52" s="39"/>
    </row>
    <row r="53" spans="1:11" x14ac:dyDescent="0.25">
      <c r="A53" t="s">
        <v>52</v>
      </c>
      <c r="I53" s="39"/>
    </row>
    <row r="54" spans="1:11" x14ac:dyDescent="0.25">
      <c r="A54" t="s">
        <v>26</v>
      </c>
      <c r="I54" s="39"/>
    </row>
    <row r="55" spans="1:11" x14ac:dyDescent="0.25">
      <c r="A55" s="6">
        <f>IF(E46="non",0,IF(B52="oui",C16,0))</f>
        <v>0</v>
      </c>
      <c r="B55" s="4" t="s">
        <v>21</v>
      </c>
      <c r="C55" s="6">
        <f>IF(E46="non",0,IF(B52="oui",C8,0))</f>
        <v>0</v>
      </c>
      <c r="D55" s="6" t="s">
        <v>22</v>
      </c>
      <c r="E55" s="4">
        <f>A55-C55</f>
        <v>0</v>
      </c>
      <c r="F55" s="4" t="s">
        <v>12</v>
      </c>
      <c r="G55" s="55">
        <v>587.83000000000004</v>
      </c>
      <c r="H55" s="4" t="s">
        <v>22</v>
      </c>
      <c r="I55" s="26">
        <f>E55*G55</f>
        <v>0</v>
      </c>
    </row>
    <row r="56" spans="1:11" x14ac:dyDescent="0.25">
      <c r="A56" t="s">
        <v>19</v>
      </c>
    </row>
    <row r="57" spans="1:11" ht="47.25" x14ac:dyDescent="0.25">
      <c r="C57" s="12" t="s">
        <v>27</v>
      </c>
      <c r="D57" s="4"/>
      <c r="E57" s="7" t="s">
        <v>28</v>
      </c>
    </row>
    <row r="58" spans="1:11" x14ac:dyDescent="0.25">
      <c r="A58" t="s">
        <v>29</v>
      </c>
      <c r="C58" s="4">
        <v>1</v>
      </c>
      <c r="D58" s="4"/>
      <c r="E58" s="31">
        <v>1941</v>
      </c>
    </row>
    <row r="59" spans="1:11" x14ac:dyDescent="0.25">
      <c r="A59" t="s">
        <v>30</v>
      </c>
      <c r="C59" s="4">
        <v>2</v>
      </c>
      <c r="D59" s="4"/>
      <c r="E59" s="31">
        <v>1665</v>
      </c>
    </row>
    <row r="60" spans="1:11" x14ac:dyDescent="0.25">
      <c r="A60" t="s">
        <v>31</v>
      </c>
      <c r="C60" s="4">
        <v>3</v>
      </c>
      <c r="D60" s="4"/>
      <c r="E60" s="31">
        <v>1665</v>
      </c>
    </row>
    <row r="61" spans="1:11" x14ac:dyDescent="0.25">
      <c r="A61" t="s">
        <v>32</v>
      </c>
      <c r="C61" s="4">
        <v>4</v>
      </c>
      <c r="D61" s="4"/>
      <c r="E61" s="31">
        <v>935</v>
      </c>
    </row>
    <row r="62" spans="1:11" x14ac:dyDescent="0.25">
      <c r="A62" t="s">
        <v>33</v>
      </c>
      <c r="C62" s="4">
        <v>5</v>
      </c>
      <c r="D62" s="4"/>
      <c r="E62" s="31">
        <v>821</v>
      </c>
    </row>
    <row r="63" spans="1:11" x14ac:dyDescent="0.25">
      <c r="C63" s="4"/>
      <c r="D63" s="4"/>
      <c r="E63" s="31"/>
    </row>
    <row r="64" spans="1:11" x14ac:dyDescent="0.25">
      <c r="A64" t="s">
        <v>34</v>
      </c>
      <c r="C64" s="2">
        <v>1</v>
      </c>
      <c r="E64" s="31">
        <f>VLOOKUP(C64,C58:E62,3)</f>
        <v>1941</v>
      </c>
      <c r="F64" s="6" t="s">
        <v>12</v>
      </c>
      <c r="G64" s="4">
        <f>E55</f>
        <v>0</v>
      </c>
      <c r="H64" s="4" t="s">
        <v>22</v>
      </c>
      <c r="I64" s="26">
        <f>E64*G64</f>
        <v>0</v>
      </c>
      <c r="K64" s="24" t="s">
        <v>66</v>
      </c>
    </row>
    <row r="65" spans="1:52" x14ac:dyDescent="0.25">
      <c r="K65" s="24" t="s">
        <v>55</v>
      </c>
    </row>
    <row r="67" spans="1:52" x14ac:dyDescent="0.25">
      <c r="A67" s="14" t="s">
        <v>53</v>
      </c>
    </row>
    <row r="68" spans="1:52" x14ac:dyDescent="0.25">
      <c r="A68" t="s">
        <v>35</v>
      </c>
      <c r="E68" s="54">
        <v>2358.1999999999998</v>
      </c>
      <c r="F68" s="6" t="s">
        <v>12</v>
      </c>
      <c r="G68" s="4">
        <f>IF(C16&gt;C8,AZ68,AR68)</f>
        <v>0</v>
      </c>
      <c r="H68" s="4" t="s">
        <v>22</v>
      </c>
      <c r="I68" s="32">
        <f t="shared" ref="I68:I69" si="6">E68*G68</f>
        <v>0</v>
      </c>
      <c r="AO68">
        <f>IF(C16&lt;60,0)</f>
        <v>0</v>
      </c>
      <c r="AP68">
        <f>IF(AO68=0,C16-60,0)</f>
        <v>-5</v>
      </c>
      <c r="AQ68">
        <f>IF(G64=0,E50,G64)</f>
        <v>0</v>
      </c>
      <c r="AR68">
        <f>MAX(AP68,AQ68)</f>
        <v>0</v>
      </c>
      <c r="AX68">
        <f>IF(C8&lt;60,60-C8,0)</f>
        <v>0</v>
      </c>
      <c r="AY68">
        <f>MIN(AX68,AX69)</f>
        <v>-5</v>
      </c>
      <c r="AZ68">
        <f>IF(C8&lt;60,AY68,0)</f>
        <v>0</v>
      </c>
    </row>
    <row r="69" spans="1:52" x14ac:dyDescent="0.25">
      <c r="A69" s="1" t="s">
        <v>36</v>
      </c>
      <c r="B69" s="1"/>
      <c r="C69" s="1"/>
      <c r="D69" s="1"/>
      <c r="E69" s="56">
        <v>2078.42</v>
      </c>
      <c r="F69" s="10" t="s">
        <v>12</v>
      </c>
      <c r="G69" s="22">
        <f>IF(C16&gt;C8,AZ69,AR69)</f>
        <v>0</v>
      </c>
      <c r="H69" s="22" t="s">
        <v>22</v>
      </c>
      <c r="I69" s="33">
        <f t="shared" si="6"/>
        <v>0</v>
      </c>
      <c r="AR69">
        <f>AQ68-AR68</f>
        <v>0</v>
      </c>
      <c r="AX69">
        <f>C16-C8</f>
        <v>-5</v>
      </c>
      <c r="AY69">
        <f>IF(AX69-AX68&lt;0,0,AX69-AX68)</f>
        <v>0</v>
      </c>
      <c r="AZ69">
        <f>IF(C16&gt;=60,AY69,0)</f>
        <v>0</v>
      </c>
    </row>
    <row r="70" spans="1:52" x14ac:dyDescent="0.25">
      <c r="I70" s="26">
        <f>SUM(I68:I69)</f>
        <v>0</v>
      </c>
    </row>
    <row r="72" spans="1:52" x14ac:dyDescent="0.25">
      <c r="A72" s="24" t="s">
        <v>58</v>
      </c>
    </row>
    <row r="73" spans="1:52" x14ac:dyDescent="0.25">
      <c r="A73" s="47" t="s">
        <v>60</v>
      </c>
      <c r="B73" s="48"/>
      <c r="C73" s="48"/>
      <c r="D73" s="48"/>
      <c r="E73" s="49"/>
      <c r="F73" s="49"/>
      <c r="G73" s="48"/>
      <c r="H73" s="50"/>
      <c r="I73" s="48"/>
    </row>
    <row r="74" spans="1:52" x14ac:dyDescent="0.25">
      <c r="A74" t="s">
        <v>50</v>
      </c>
    </row>
    <row r="75" spans="1:52" x14ac:dyDescent="0.25">
      <c r="A75" t="s">
        <v>37</v>
      </c>
    </row>
    <row r="77" spans="1:52" ht="63" x14ac:dyDescent="0.25">
      <c r="B77" t="s">
        <v>46</v>
      </c>
      <c r="C77" s="12" t="s">
        <v>41</v>
      </c>
      <c r="E77" s="12" t="s">
        <v>40</v>
      </c>
      <c r="F77"/>
      <c r="G77" s="12" t="s">
        <v>39</v>
      </c>
      <c r="I77" t="s">
        <v>43</v>
      </c>
      <c r="K77" s="5" t="s">
        <v>44</v>
      </c>
    </row>
    <row r="78" spans="1:52" x14ac:dyDescent="0.25">
      <c r="A78" t="s">
        <v>38</v>
      </c>
      <c r="B78" s="4">
        <f>IF(E46="non",C8,0)</f>
        <v>60</v>
      </c>
      <c r="C78" s="9">
        <f>IF(E46="non",I16,0)</f>
        <v>13585</v>
      </c>
    </row>
    <row r="79" spans="1:52" x14ac:dyDescent="0.25">
      <c r="A79" s="1" t="s">
        <v>45</v>
      </c>
      <c r="B79" s="3">
        <v>0</v>
      </c>
      <c r="C79" s="35">
        <f>B79*260</f>
        <v>0</v>
      </c>
      <c r="D79" s="1"/>
      <c r="E79" s="10"/>
      <c r="F79" s="10"/>
      <c r="G79" s="1"/>
      <c r="H79" s="22"/>
      <c r="I79" s="1"/>
      <c r="J79" s="1"/>
      <c r="K79" s="1"/>
    </row>
    <row r="80" spans="1:52" x14ac:dyDescent="0.25">
      <c r="C80" s="9">
        <f>SUM(C78:C79)</f>
        <v>13585</v>
      </c>
      <c r="D80" s="4" t="s">
        <v>42</v>
      </c>
      <c r="E80" s="9">
        <f>B78*260</f>
        <v>15600</v>
      </c>
      <c r="F80" s="4" t="s">
        <v>22</v>
      </c>
      <c r="G80" s="34">
        <f>IF(C80=0,0,C80/E80)</f>
        <v>0.87083333333333335</v>
      </c>
      <c r="H80" s="6" t="s">
        <v>21</v>
      </c>
      <c r="I80" s="36">
        <v>0.9</v>
      </c>
      <c r="J80" t="s">
        <v>22</v>
      </c>
      <c r="K80" s="34">
        <f>IF(G80=0,0,IF(G80&gt;I80,0,G80-I80))</f>
        <v>-2.9166666666666674E-2</v>
      </c>
    </row>
    <row r="82" spans="1:11" x14ac:dyDescent="0.25">
      <c r="A82" s="14" t="s">
        <v>10</v>
      </c>
    </row>
    <row r="83" spans="1:11" x14ac:dyDescent="0.25">
      <c r="A83" s="14" t="s">
        <v>51</v>
      </c>
    </row>
    <row r="84" spans="1:11" x14ac:dyDescent="0.25">
      <c r="A84" t="s">
        <v>24</v>
      </c>
      <c r="B84" s="60" t="s">
        <v>61</v>
      </c>
      <c r="C84" s="37">
        <f>K80</f>
        <v>-2.9166666666666674E-2</v>
      </c>
      <c r="D84" s="4" t="s">
        <v>12</v>
      </c>
      <c r="E84" s="6">
        <f>IF(B84="oui",B78,0)</f>
        <v>60</v>
      </c>
      <c r="F84" s="6" t="s">
        <v>12</v>
      </c>
      <c r="G84" s="55">
        <f>G50</f>
        <v>587.83000000000004</v>
      </c>
      <c r="H84" s="4" t="s">
        <v>22</v>
      </c>
      <c r="I84" s="26">
        <f>C84*E84*G84</f>
        <v>-1028.7025000000003</v>
      </c>
    </row>
    <row r="85" spans="1:11" x14ac:dyDescent="0.25">
      <c r="C85" s="37"/>
      <c r="D85" s="4"/>
      <c r="G85" s="55"/>
      <c r="I85" s="26"/>
    </row>
    <row r="86" spans="1:11" x14ac:dyDescent="0.25">
      <c r="A86" t="s">
        <v>25</v>
      </c>
      <c r="B86" s="60" t="s">
        <v>61</v>
      </c>
      <c r="C86" s="37">
        <f>C84</f>
        <v>-2.9166666666666674E-2</v>
      </c>
      <c r="D86" s="4" t="s">
        <v>12</v>
      </c>
      <c r="E86" s="6">
        <f>IF(B86="oui",B78,0)</f>
        <v>60</v>
      </c>
      <c r="F86" s="6" t="s">
        <v>12</v>
      </c>
      <c r="G86" s="55">
        <f>G84</f>
        <v>587.83000000000004</v>
      </c>
      <c r="H86" s="4" t="s">
        <v>22</v>
      </c>
      <c r="I86" s="26">
        <f>C86*E86*G86</f>
        <v>-1028.7025000000003</v>
      </c>
    </row>
    <row r="87" spans="1:11" x14ac:dyDescent="0.25">
      <c r="A87" s="1"/>
      <c r="B87" s="1"/>
      <c r="C87" s="38">
        <f>C86</f>
        <v>-2.9166666666666674E-2</v>
      </c>
      <c r="D87" s="22" t="s">
        <v>12</v>
      </c>
      <c r="E87" s="10">
        <f>IF(B86="oui",B78,0)</f>
        <v>60</v>
      </c>
      <c r="F87" s="10" t="s">
        <v>12</v>
      </c>
      <c r="G87" s="33">
        <f>E64</f>
        <v>1941</v>
      </c>
      <c r="H87" s="22" t="s">
        <v>22</v>
      </c>
      <c r="I87" s="58">
        <f>C87*E87*G87</f>
        <v>-3396.7500000000009</v>
      </c>
    </row>
    <row r="88" spans="1:11" x14ac:dyDescent="0.25">
      <c r="I88" s="26">
        <f>SUM(I86:I87)</f>
        <v>-4425.4525000000012</v>
      </c>
      <c r="K88" s="24" t="s">
        <v>66</v>
      </c>
    </row>
    <row r="89" spans="1:11" x14ac:dyDescent="0.25">
      <c r="A89" s="14" t="s">
        <v>53</v>
      </c>
    </row>
    <row r="90" spans="1:11" x14ac:dyDescent="0.25">
      <c r="A90" t="s">
        <v>35</v>
      </c>
      <c r="C90" s="37">
        <f>C86</f>
        <v>-2.9166666666666674E-2</v>
      </c>
      <c r="D90" s="4" t="s">
        <v>12</v>
      </c>
      <c r="E90" s="6">
        <f>MIN(E84,60)</f>
        <v>60</v>
      </c>
      <c r="F90" s="6" t="s">
        <v>12</v>
      </c>
      <c r="G90" s="55">
        <v>2358.1999999999998</v>
      </c>
      <c r="H90" s="4" t="s">
        <v>22</v>
      </c>
      <c r="I90" s="26">
        <f t="shared" ref="I90:I91" si="7">C90*E90*G90</f>
        <v>-4126.8500000000004</v>
      </c>
    </row>
    <row r="91" spans="1:11" x14ac:dyDescent="0.25">
      <c r="A91" s="1" t="s">
        <v>36</v>
      </c>
      <c r="B91" s="1"/>
      <c r="C91" s="38">
        <f>C90</f>
        <v>-2.9166666666666674E-2</v>
      </c>
      <c r="D91" s="22" t="s">
        <v>12</v>
      </c>
      <c r="E91" s="10">
        <f>IF(E84&gt;60,E84-E90,0)</f>
        <v>0</v>
      </c>
      <c r="F91" s="10" t="s">
        <v>12</v>
      </c>
      <c r="G91" s="56">
        <v>2078.42</v>
      </c>
      <c r="H91" s="22" t="s">
        <v>22</v>
      </c>
      <c r="I91" s="58">
        <f t="shared" si="7"/>
        <v>0</v>
      </c>
    </row>
    <row r="92" spans="1:11" x14ac:dyDescent="0.25">
      <c r="I92" s="26">
        <f>SUM(I90:I91)</f>
        <v>-4126.8500000000004</v>
      </c>
    </row>
  </sheetData>
  <dataValidations count="2">
    <dataValidation type="list" allowBlank="1" showInputMessage="1" showErrorMessage="1" sqref="E46 B48 B52 B84 B86" xr:uid="{71ED72B0-7ED2-0749-88B1-9FBD62AA674F}">
      <formula1>$V$46:$V$47</formula1>
    </dataValidation>
    <dataValidation type="list" allowBlank="1" showInputMessage="1" showErrorMessage="1" sqref="C64" xr:uid="{51A13AFE-98B0-3240-B1C8-85CBAD2B22F8}">
      <formula1>$C$58:$C$62</formula1>
    </dataValidation>
  </dataValidation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C322D-8CF5-4344-9AB7-8CCD9E219D1C}">
  <dimension ref="A1:AZ92"/>
  <sheetViews>
    <sheetView topLeftCell="A33" zoomScaleNormal="100" workbookViewId="0">
      <selection activeCell="A68" sqref="A68:XFD69"/>
    </sheetView>
  </sheetViews>
  <sheetFormatPr baseColWidth="10" defaultRowHeight="15.75" x14ac:dyDescent="0.25"/>
  <cols>
    <col min="1" max="1" width="35.875" customWidth="1"/>
    <col min="2" max="2" width="5.625" customWidth="1"/>
    <col min="3" max="3" width="14.375" customWidth="1"/>
    <col min="4" max="4" width="3.125" bestFit="1" customWidth="1"/>
    <col min="5" max="5" width="14.125" style="6" customWidth="1"/>
    <col min="6" max="6" width="3.875" style="6" customWidth="1"/>
    <col min="7" max="7" width="11.625" customWidth="1"/>
    <col min="8" max="8" width="5.875" style="4" customWidth="1"/>
    <col min="9" max="9" width="13" customWidth="1"/>
    <col min="10" max="10" width="2.5" customWidth="1"/>
    <col min="11" max="12" width="12.375" customWidth="1"/>
    <col min="14" max="14" width="12.875" customWidth="1"/>
  </cols>
  <sheetData>
    <row r="1" spans="1:14" x14ac:dyDescent="0.25">
      <c r="A1" s="14" t="s">
        <v>0</v>
      </c>
      <c r="B1" s="14"/>
      <c r="C1" s="24" t="s">
        <v>64</v>
      </c>
    </row>
    <row r="2" spans="1:14" x14ac:dyDescent="0.25">
      <c r="C2" s="24" t="s">
        <v>65</v>
      </c>
    </row>
    <row r="3" spans="1:14" x14ac:dyDescent="0.25">
      <c r="A3" s="40" t="s">
        <v>6</v>
      </c>
      <c r="B3" s="40"/>
      <c r="C3" s="41"/>
      <c r="D3" s="41"/>
      <c r="E3" s="42"/>
      <c r="F3" s="42"/>
      <c r="G3" s="41"/>
      <c r="H3" s="43"/>
      <c r="I3" s="41"/>
    </row>
    <row r="4" spans="1:14" ht="47.25" x14ac:dyDescent="0.25">
      <c r="C4" s="12" t="s">
        <v>7</v>
      </c>
      <c r="D4" s="12"/>
      <c r="E4" s="7" t="s">
        <v>47</v>
      </c>
      <c r="F4" s="7"/>
      <c r="G4" s="12" t="s">
        <v>5</v>
      </c>
      <c r="H4" s="12"/>
      <c r="I4" s="12" t="s">
        <v>8</v>
      </c>
      <c r="J4" s="12"/>
      <c r="K4" s="12"/>
      <c r="L4" s="7"/>
      <c r="M4" s="12"/>
      <c r="N4" s="12"/>
    </row>
    <row r="5" spans="1:14" x14ac:dyDescent="0.25">
      <c r="A5" t="s">
        <v>1</v>
      </c>
      <c r="C5" s="2">
        <v>20</v>
      </c>
      <c r="D5" s="12" t="s">
        <v>12</v>
      </c>
      <c r="E5" s="8">
        <v>0.98</v>
      </c>
      <c r="F5" s="6" t="s">
        <v>12</v>
      </c>
      <c r="G5" s="6">
        <v>260</v>
      </c>
      <c r="H5" s="6" t="s">
        <v>22</v>
      </c>
      <c r="I5" s="9">
        <f>C5*G5*E5</f>
        <v>5096</v>
      </c>
      <c r="J5" s="9"/>
      <c r="K5" s="4"/>
      <c r="L5" s="6"/>
      <c r="M5" s="6"/>
      <c r="N5" s="9"/>
    </row>
    <row r="6" spans="1:14" x14ac:dyDescent="0.25">
      <c r="A6" t="s">
        <v>2</v>
      </c>
      <c r="C6" s="2">
        <v>30</v>
      </c>
      <c r="D6" s="12" t="s">
        <v>12</v>
      </c>
      <c r="E6" s="8">
        <v>0.98</v>
      </c>
      <c r="F6" s="6" t="s">
        <v>12</v>
      </c>
      <c r="G6" s="6">
        <v>260</v>
      </c>
      <c r="H6" s="6" t="s">
        <v>22</v>
      </c>
      <c r="I6" s="9">
        <f t="shared" ref="I6:I7" si="0">C6*G6*E6</f>
        <v>7644</v>
      </c>
      <c r="J6" s="9"/>
      <c r="K6" s="4"/>
      <c r="L6" s="6"/>
      <c r="M6" s="6"/>
      <c r="N6" s="9"/>
    </row>
    <row r="7" spans="1:14" x14ac:dyDescent="0.25">
      <c r="A7" s="1" t="s">
        <v>3</v>
      </c>
      <c r="B7" s="1"/>
      <c r="C7" s="3">
        <v>30</v>
      </c>
      <c r="D7" s="51" t="s">
        <v>12</v>
      </c>
      <c r="E7" s="52">
        <v>0.98</v>
      </c>
      <c r="F7" s="10" t="s">
        <v>12</v>
      </c>
      <c r="G7" s="10">
        <v>260</v>
      </c>
      <c r="H7" s="10" t="s">
        <v>22</v>
      </c>
      <c r="I7" s="11">
        <f t="shared" si="0"/>
        <v>7644</v>
      </c>
      <c r="J7" s="9"/>
      <c r="K7" s="4"/>
      <c r="L7" s="6"/>
      <c r="M7" s="6"/>
      <c r="N7" s="9"/>
    </row>
    <row r="8" spans="1:14" x14ac:dyDescent="0.25">
      <c r="A8" t="s">
        <v>4</v>
      </c>
      <c r="C8" s="4">
        <f>SUM(C5:C7)</f>
        <v>80</v>
      </c>
      <c r="D8" s="4"/>
      <c r="E8" s="13">
        <f>IF(I8=0,0,I8/(C8*G8))</f>
        <v>0.98</v>
      </c>
      <c r="G8" s="6">
        <v>260</v>
      </c>
      <c r="H8" s="6"/>
      <c r="I8" s="59">
        <f>SUM(I5:I7)</f>
        <v>20384</v>
      </c>
      <c r="J8" s="9"/>
      <c r="K8" s="4"/>
      <c r="L8" s="13"/>
      <c r="M8" s="6"/>
      <c r="N8" s="9"/>
    </row>
    <row r="11" spans="1:14" x14ac:dyDescent="0.25">
      <c r="A11" s="44" t="s">
        <v>56</v>
      </c>
      <c r="B11" s="44"/>
      <c r="C11" s="45"/>
      <c r="D11" s="45"/>
      <c r="E11" s="45"/>
      <c r="F11" s="45"/>
      <c r="G11" s="45"/>
      <c r="H11" s="46"/>
      <c r="I11" s="45"/>
    </row>
    <row r="12" spans="1:14" ht="47.25" x14ac:dyDescent="0.25">
      <c r="C12" s="12" t="s">
        <v>7</v>
      </c>
      <c r="D12" s="12"/>
      <c r="E12" s="7" t="s">
        <v>48</v>
      </c>
      <c r="F12" s="7"/>
      <c r="G12" s="12" t="s">
        <v>5</v>
      </c>
      <c r="H12" s="12"/>
      <c r="I12" s="12" t="s">
        <v>8</v>
      </c>
    </row>
    <row r="13" spans="1:14" x14ac:dyDescent="0.25">
      <c r="A13" t="s">
        <v>1</v>
      </c>
      <c r="C13" s="2">
        <v>30</v>
      </c>
      <c r="D13" s="12" t="s">
        <v>12</v>
      </c>
      <c r="E13" s="8">
        <v>0.98</v>
      </c>
      <c r="F13" s="6" t="s">
        <v>12</v>
      </c>
      <c r="G13" s="6">
        <v>260</v>
      </c>
      <c r="H13" s="6" t="s">
        <v>22</v>
      </c>
      <c r="I13" s="9">
        <f>C13*G13*E13</f>
        <v>7644</v>
      </c>
    </row>
    <row r="14" spans="1:14" x14ac:dyDescent="0.25">
      <c r="A14" t="s">
        <v>2</v>
      </c>
      <c r="C14" s="2">
        <v>30</v>
      </c>
      <c r="D14" s="12" t="s">
        <v>12</v>
      </c>
      <c r="E14" s="8">
        <v>0.98</v>
      </c>
      <c r="F14" s="6" t="s">
        <v>12</v>
      </c>
      <c r="G14" s="6">
        <v>260</v>
      </c>
      <c r="H14" s="6" t="s">
        <v>22</v>
      </c>
      <c r="I14" s="9">
        <f t="shared" ref="I14:I15" si="1">C14*G14*E14</f>
        <v>7644</v>
      </c>
    </row>
    <row r="15" spans="1:14" x14ac:dyDescent="0.25">
      <c r="A15" s="1" t="s">
        <v>3</v>
      </c>
      <c r="B15" s="1"/>
      <c r="C15" s="3">
        <v>10</v>
      </c>
      <c r="D15" s="51" t="s">
        <v>12</v>
      </c>
      <c r="E15" s="52">
        <v>0.98</v>
      </c>
      <c r="F15" s="10" t="s">
        <v>12</v>
      </c>
      <c r="G15" s="10">
        <v>260</v>
      </c>
      <c r="H15" s="10" t="s">
        <v>22</v>
      </c>
      <c r="I15" s="11">
        <f t="shared" si="1"/>
        <v>2548</v>
      </c>
    </row>
    <row r="16" spans="1:14" x14ac:dyDescent="0.25">
      <c r="A16" t="s">
        <v>4</v>
      </c>
      <c r="C16" s="4">
        <f>SUM(C13:C15)</f>
        <v>70</v>
      </c>
      <c r="D16" s="4"/>
      <c r="E16" s="13">
        <f>IF(I16=0,0,I16/(C16*G16))</f>
        <v>0.98</v>
      </c>
      <c r="G16" s="6">
        <v>260</v>
      </c>
      <c r="H16" s="6"/>
      <c r="I16" s="59">
        <f>SUM(I13:I15)</f>
        <v>17836</v>
      </c>
    </row>
    <row r="18" spans="1:12" x14ac:dyDescent="0.25">
      <c r="A18" s="14" t="s">
        <v>49</v>
      </c>
      <c r="I18" s="9"/>
    </row>
    <row r="19" spans="1:12" x14ac:dyDescent="0.25">
      <c r="A19" t="s">
        <v>1</v>
      </c>
      <c r="I19" s="9">
        <f>I13-I5</f>
        <v>2548</v>
      </c>
    </row>
    <row r="20" spans="1:12" x14ac:dyDescent="0.25">
      <c r="A20" t="s">
        <v>2</v>
      </c>
      <c r="I20" s="9">
        <f t="shared" ref="I20:I21" si="2">I14-I6</f>
        <v>0</v>
      </c>
    </row>
    <row r="21" spans="1:12" x14ac:dyDescent="0.25">
      <c r="A21" s="1" t="s">
        <v>3</v>
      </c>
      <c r="B21" s="1"/>
      <c r="C21" s="1"/>
      <c r="D21" s="1"/>
      <c r="E21" s="10"/>
      <c r="F21" s="10"/>
      <c r="G21" s="1"/>
      <c r="H21" s="22"/>
      <c r="I21" s="11">
        <f t="shared" si="2"/>
        <v>-5096</v>
      </c>
    </row>
    <row r="22" spans="1:12" x14ac:dyDescent="0.25">
      <c r="A22" t="s">
        <v>4</v>
      </c>
      <c r="I22" s="59">
        <f>SUM(I19:I21)</f>
        <v>-2548</v>
      </c>
    </row>
    <row r="23" spans="1:12" x14ac:dyDescent="0.25">
      <c r="C23" s="4"/>
      <c r="D23" s="4"/>
      <c r="E23" s="4"/>
      <c r="F23" s="4"/>
      <c r="G23" s="4"/>
      <c r="I23" s="4"/>
      <c r="J23" s="4"/>
      <c r="K23" s="4"/>
      <c r="L23" s="4"/>
    </row>
    <row r="24" spans="1:12" x14ac:dyDescent="0.25">
      <c r="C24" s="4"/>
      <c r="D24" s="4"/>
      <c r="E24" s="4"/>
      <c r="F24" s="4"/>
      <c r="G24" s="4"/>
      <c r="I24" s="4"/>
      <c r="J24" s="4"/>
      <c r="K24" s="4"/>
      <c r="L24" s="4"/>
    </row>
    <row r="25" spans="1:12" x14ac:dyDescent="0.25">
      <c r="A25" s="47" t="s">
        <v>10</v>
      </c>
      <c r="B25" s="47"/>
      <c r="C25" s="47"/>
      <c r="D25" s="47"/>
      <c r="E25" s="61"/>
      <c r="F25" s="61"/>
      <c r="G25" s="47"/>
      <c r="H25" s="63" t="s">
        <v>67</v>
      </c>
      <c r="I25" s="62">
        <f>I30+I37+I44+I50+I55+I64+I84+I88+I92</f>
        <v>-39677.990999999987</v>
      </c>
    </row>
    <row r="26" spans="1:12" x14ac:dyDescent="0.25">
      <c r="A26" s="14" t="s">
        <v>9</v>
      </c>
      <c r="B26" s="14"/>
      <c r="G26" s="6" t="s">
        <v>11</v>
      </c>
      <c r="H26" s="6"/>
    </row>
    <row r="27" spans="1:12" x14ac:dyDescent="0.25">
      <c r="A27" t="s">
        <v>1</v>
      </c>
      <c r="C27" s="9">
        <f>I19</f>
        <v>2548</v>
      </c>
      <c r="D27" s="9"/>
      <c r="E27" s="6" t="s">
        <v>12</v>
      </c>
      <c r="G27" s="55">
        <v>66.86</v>
      </c>
      <c r="H27" s="15" t="s">
        <v>22</v>
      </c>
      <c r="I27" s="17">
        <f>C27*G27</f>
        <v>170359.28</v>
      </c>
      <c r="J27" s="24" t="s">
        <v>57</v>
      </c>
    </row>
    <row r="28" spans="1:12" x14ac:dyDescent="0.25">
      <c r="A28" t="s">
        <v>2</v>
      </c>
      <c r="C28" s="9">
        <f t="shared" ref="C28:C29" si="3">I20</f>
        <v>0</v>
      </c>
      <c r="D28" s="9"/>
      <c r="E28" s="6" t="s">
        <v>12</v>
      </c>
      <c r="G28" s="55">
        <v>42.09</v>
      </c>
      <c r="H28" s="15" t="s">
        <v>22</v>
      </c>
      <c r="I28" s="17">
        <f t="shared" ref="I28:I29" si="4">C28*G28</f>
        <v>0</v>
      </c>
      <c r="J28" s="24" t="s">
        <v>57</v>
      </c>
    </row>
    <row r="29" spans="1:12" x14ac:dyDescent="0.25">
      <c r="A29" s="1" t="s">
        <v>3</v>
      </c>
      <c r="B29" s="1"/>
      <c r="C29" s="11">
        <f t="shared" si="3"/>
        <v>-5096</v>
      </c>
      <c r="D29" s="11"/>
      <c r="E29" s="10" t="s">
        <v>12</v>
      </c>
      <c r="F29" s="10"/>
      <c r="G29" s="56">
        <v>33.83</v>
      </c>
      <c r="H29" s="18" t="s">
        <v>22</v>
      </c>
      <c r="I29" s="19">
        <f t="shared" si="4"/>
        <v>-172397.68</v>
      </c>
      <c r="J29" s="24" t="s">
        <v>57</v>
      </c>
    </row>
    <row r="30" spans="1:12" x14ac:dyDescent="0.25">
      <c r="I30" s="26">
        <f>SUM(I27:I29)</f>
        <v>-2038.3999999999942</v>
      </c>
    </row>
    <row r="32" spans="1:12" x14ac:dyDescent="0.25">
      <c r="A32" s="14" t="s">
        <v>13</v>
      </c>
    </row>
    <row r="33" spans="1:22" x14ac:dyDescent="0.25">
      <c r="A33" t="s">
        <v>14</v>
      </c>
      <c r="C33" s="9"/>
      <c r="D33" s="9"/>
    </row>
    <row r="34" spans="1:22" x14ac:dyDescent="0.25">
      <c r="A34" t="s">
        <v>18</v>
      </c>
      <c r="C34" s="9">
        <f>I22</f>
        <v>-2548</v>
      </c>
      <c r="D34" s="9"/>
      <c r="E34" s="6" t="s">
        <v>15</v>
      </c>
      <c r="G34" s="55">
        <v>2.69</v>
      </c>
      <c r="H34" s="28" t="s">
        <v>22</v>
      </c>
      <c r="I34" s="17">
        <f>C34*G34</f>
        <v>-6854.12</v>
      </c>
      <c r="J34" s="24" t="s">
        <v>54</v>
      </c>
      <c r="K34" s="24"/>
    </row>
    <row r="35" spans="1:22" x14ac:dyDescent="0.25">
      <c r="A35" t="s">
        <v>16</v>
      </c>
      <c r="C35" s="9">
        <f>C34</f>
        <v>-2548</v>
      </c>
      <c r="D35" s="9"/>
      <c r="E35" s="6" t="s">
        <v>15</v>
      </c>
      <c r="G35" s="55">
        <v>3.14</v>
      </c>
      <c r="H35" s="28" t="s">
        <v>22</v>
      </c>
      <c r="I35" s="17">
        <f t="shared" ref="I35:I36" si="5">C35*G35</f>
        <v>-8000.72</v>
      </c>
      <c r="J35" s="24" t="s">
        <v>54</v>
      </c>
      <c r="K35" s="24"/>
    </row>
    <row r="36" spans="1:22" ht="63" x14ac:dyDescent="0.25">
      <c r="A36" s="20" t="s">
        <v>17</v>
      </c>
      <c r="B36" s="20"/>
      <c r="C36" s="21">
        <f>C35</f>
        <v>-2548</v>
      </c>
      <c r="D36" s="21"/>
      <c r="E36" s="10" t="s">
        <v>15</v>
      </c>
      <c r="F36" s="10"/>
      <c r="G36" s="56">
        <v>2.85</v>
      </c>
      <c r="H36" s="18" t="s">
        <v>22</v>
      </c>
      <c r="I36" s="23">
        <f t="shared" si="5"/>
        <v>-7261.8</v>
      </c>
      <c r="J36" s="53" t="s">
        <v>54</v>
      </c>
      <c r="K36" s="25"/>
    </row>
    <row r="37" spans="1:22" x14ac:dyDescent="0.25">
      <c r="C37" s="16"/>
      <c r="D37" s="16"/>
      <c r="G37" s="16"/>
      <c r="H37" s="28"/>
      <c r="I37" s="26">
        <f>SUM(I34:I36)</f>
        <v>-22116.639999999999</v>
      </c>
    </row>
    <row r="39" spans="1:22" x14ac:dyDescent="0.25">
      <c r="A39" t="s">
        <v>19</v>
      </c>
    </row>
    <row r="40" spans="1:22" x14ac:dyDescent="0.25">
      <c r="A40" t="s">
        <v>20</v>
      </c>
    </row>
    <row r="41" spans="1:22" x14ac:dyDescent="0.25">
      <c r="A41" s="9">
        <f>20800</f>
        <v>20800</v>
      </c>
      <c r="B41" s="6" t="s">
        <v>21</v>
      </c>
      <c r="C41" s="27">
        <f>I8</f>
        <v>20384</v>
      </c>
      <c r="D41" s="27" t="s">
        <v>22</v>
      </c>
      <c r="E41" s="9">
        <f>A41-C41</f>
        <v>416</v>
      </c>
      <c r="F41" s="4" t="s">
        <v>12</v>
      </c>
      <c r="G41" s="55">
        <v>1.1200000000000001</v>
      </c>
      <c r="H41" s="28" t="s">
        <v>22</v>
      </c>
      <c r="I41" s="17">
        <f>E41*G41</f>
        <v>465.92000000000007</v>
      </c>
    </row>
    <row r="42" spans="1:22" x14ac:dyDescent="0.25">
      <c r="A42" t="s">
        <v>23</v>
      </c>
      <c r="G42" s="55"/>
    </row>
    <row r="43" spans="1:22" x14ac:dyDescent="0.25">
      <c r="A43" s="11">
        <f>20800</f>
        <v>20800</v>
      </c>
      <c r="B43" s="10" t="s">
        <v>21</v>
      </c>
      <c r="C43" s="29">
        <f>I16</f>
        <v>17836</v>
      </c>
      <c r="D43" s="29" t="s">
        <v>22</v>
      </c>
      <c r="E43" s="11">
        <f>A43-C43</f>
        <v>2964</v>
      </c>
      <c r="F43" s="22" t="s">
        <v>12</v>
      </c>
      <c r="G43" s="56">
        <v>1.1200000000000001</v>
      </c>
      <c r="H43" s="30" t="s">
        <v>22</v>
      </c>
      <c r="I43" s="19">
        <f>E43*G43</f>
        <v>3319.6800000000003</v>
      </c>
    </row>
    <row r="44" spans="1:22" x14ac:dyDescent="0.25">
      <c r="I44" s="26">
        <f>I43-I41</f>
        <v>2853.76</v>
      </c>
    </row>
    <row r="45" spans="1:22" x14ac:dyDescent="0.25">
      <c r="A45" s="14" t="s">
        <v>59</v>
      </c>
    </row>
    <row r="46" spans="1:22" x14ac:dyDescent="0.25">
      <c r="A46" s="47" t="s">
        <v>63</v>
      </c>
      <c r="B46" s="48"/>
      <c r="C46" s="48"/>
      <c r="D46" s="48"/>
      <c r="E46" s="57" t="s">
        <v>62</v>
      </c>
      <c r="F46" s="49"/>
      <c r="G46" s="48"/>
      <c r="H46" s="50"/>
      <c r="I46" s="48"/>
      <c r="V46" t="s">
        <v>61</v>
      </c>
    </row>
    <row r="47" spans="1:22" x14ac:dyDescent="0.25">
      <c r="A47" s="14" t="s">
        <v>51</v>
      </c>
      <c r="V47" t="s">
        <v>62</v>
      </c>
    </row>
    <row r="48" spans="1:22" x14ac:dyDescent="0.25">
      <c r="A48" s="14" t="s">
        <v>24</v>
      </c>
      <c r="B48" s="60" t="s">
        <v>61</v>
      </c>
    </row>
    <row r="49" spans="1:11" x14ac:dyDescent="0.25">
      <c r="A49" t="s">
        <v>26</v>
      </c>
    </row>
    <row r="50" spans="1:11" x14ac:dyDescent="0.25">
      <c r="A50" s="6">
        <f>IF(E46="non",0,IF(B48="oui",C16,0))</f>
        <v>0</v>
      </c>
      <c r="B50" s="4" t="s">
        <v>21</v>
      </c>
      <c r="C50" s="6">
        <f>IF(E46="non",0,IF(B48="oui",C8,0))</f>
        <v>0</v>
      </c>
      <c r="D50" s="6" t="s">
        <v>22</v>
      </c>
      <c r="E50" s="4">
        <f>A50-C50</f>
        <v>0</v>
      </c>
      <c r="F50" s="4" t="s">
        <v>12</v>
      </c>
      <c r="G50" s="55">
        <v>587.83000000000004</v>
      </c>
      <c r="H50" s="4" t="s">
        <v>22</v>
      </c>
      <c r="I50" s="26">
        <f>E50*G50</f>
        <v>0</v>
      </c>
    </row>
    <row r="51" spans="1:11" x14ac:dyDescent="0.25">
      <c r="I51" s="39"/>
    </row>
    <row r="52" spans="1:11" x14ac:dyDescent="0.25">
      <c r="A52" s="14" t="s">
        <v>25</v>
      </c>
      <c r="B52" s="60" t="s">
        <v>62</v>
      </c>
      <c r="I52" s="39"/>
    </row>
    <row r="53" spans="1:11" x14ac:dyDescent="0.25">
      <c r="A53" t="s">
        <v>52</v>
      </c>
      <c r="I53" s="39"/>
    </row>
    <row r="54" spans="1:11" x14ac:dyDescent="0.25">
      <c r="A54" t="s">
        <v>26</v>
      </c>
      <c r="I54" s="39"/>
    </row>
    <row r="55" spans="1:11" x14ac:dyDescent="0.25">
      <c r="A55" s="6">
        <f>IF(E46="non",0,IF(B52="oui",C16,0))</f>
        <v>0</v>
      </c>
      <c r="B55" s="4" t="s">
        <v>21</v>
      </c>
      <c r="C55" s="6">
        <f>IF(E46="non",0,IF(B52="oui",C8,0))</f>
        <v>0</v>
      </c>
      <c r="D55" s="6" t="s">
        <v>22</v>
      </c>
      <c r="E55" s="4">
        <f>A55-C55</f>
        <v>0</v>
      </c>
      <c r="F55" s="4" t="s">
        <v>12</v>
      </c>
      <c r="G55" s="55">
        <v>587.83000000000004</v>
      </c>
      <c r="H55" s="4" t="s">
        <v>22</v>
      </c>
      <c r="I55" s="26">
        <f>E55*G55</f>
        <v>0</v>
      </c>
    </row>
    <row r="56" spans="1:11" x14ac:dyDescent="0.25">
      <c r="A56" t="s">
        <v>19</v>
      </c>
    </row>
    <row r="57" spans="1:11" ht="47.25" x14ac:dyDescent="0.25">
      <c r="C57" s="12" t="s">
        <v>27</v>
      </c>
      <c r="D57" s="4"/>
      <c r="E57" s="7" t="s">
        <v>28</v>
      </c>
    </row>
    <row r="58" spans="1:11" x14ac:dyDescent="0.25">
      <c r="A58" t="s">
        <v>29</v>
      </c>
      <c r="C58" s="4">
        <v>1</v>
      </c>
      <c r="D58" s="4"/>
      <c r="E58" s="31">
        <v>1941</v>
      </c>
    </row>
    <row r="59" spans="1:11" x14ac:dyDescent="0.25">
      <c r="A59" t="s">
        <v>30</v>
      </c>
      <c r="C59" s="4">
        <v>2</v>
      </c>
      <c r="D59" s="4"/>
      <c r="E59" s="31">
        <v>1665</v>
      </c>
    </row>
    <row r="60" spans="1:11" x14ac:dyDescent="0.25">
      <c r="A60" t="s">
        <v>31</v>
      </c>
      <c r="C60" s="4">
        <v>3</v>
      </c>
      <c r="D60" s="4"/>
      <c r="E60" s="31">
        <v>1665</v>
      </c>
    </row>
    <row r="61" spans="1:11" x14ac:dyDescent="0.25">
      <c r="A61" t="s">
        <v>32</v>
      </c>
      <c r="C61" s="4">
        <v>4</v>
      </c>
      <c r="D61" s="4"/>
      <c r="E61" s="31">
        <v>935</v>
      </c>
    </row>
    <row r="62" spans="1:11" x14ac:dyDescent="0.25">
      <c r="A62" t="s">
        <v>33</v>
      </c>
      <c r="C62" s="4">
        <v>5</v>
      </c>
      <c r="D62" s="4"/>
      <c r="E62" s="31">
        <v>821</v>
      </c>
    </row>
    <row r="63" spans="1:11" x14ac:dyDescent="0.25">
      <c r="C63" s="4"/>
      <c r="D63" s="4"/>
      <c r="E63" s="31"/>
    </row>
    <row r="64" spans="1:11" x14ac:dyDescent="0.25">
      <c r="A64" t="s">
        <v>34</v>
      </c>
      <c r="C64" s="2">
        <v>1</v>
      </c>
      <c r="E64" s="31">
        <f>VLOOKUP(C64,C58:E62,3)</f>
        <v>1941</v>
      </c>
      <c r="F64" s="6" t="s">
        <v>12</v>
      </c>
      <c r="G64" s="4">
        <f>E55</f>
        <v>0</v>
      </c>
      <c r="H64" s="4" t="s">
        <v>22</v>
      </c>
      <c r="I64" s="26">
        <f>E64*G64</f>
        <v>0</v>
      </c>
      <c r="K64" s="24" t="s">
        <v>66</v>
      </c>
    </row>
    <row r="65" spans="1:52" x14ac:dyDescent="0.25">
      <c r="K65" s="24" t="s">
        <v>55</v>
      </c>
    </row>
    <row r="67" spans="1:52" x14ac:dyDescent="0.25">
      <c r="A67" s="14" t="s">
        <v>53</v>
      </c>
    </row>
    <row r="68" spans="1:52" x14ac:dyDescent="0.25">
      <c r="A68" t="s">
        <v>35</v>
      </c>
      <c r="E68" s="54">
        <v>2358.1999999999998</v>
      </c>
      <c r="F68" s="6" t="s">
        <v>12</v>
      </c>
      <c r="G68" s="4">
        <f>IF(C16&gt;C8,AZ68,AR68)</f>
        <v>0</v>
      </c>
      <c r="H68" s="4" t="s">
        <v>22</v>
      </c>
      <c r="I68" s="32">
        <f t="shared" ref="I68:I69" si="6">E68*G68</f>
        <v>0</v>
      </c>
      <c r="AO68" t="b">
        <f>IF(C16&lt;60,0)</f>
        <v>0</v>
      </c>
      <c r="AP68">
        <f>IF(AO68=0,C16-60,0)</f>
        <v>0</v>
      </c>
      <c r="AQ68">
        <f>IF(G64=0,E50,G64)</f>
        <v>0</v>
      </c>
      <c r="AR68">
        <f>MAX(AP68,AQ68)</f>
        <v>0</v>
      </c>
      <c r="AX68">
        <f>IF(C8&lt;60,60-C8,0)</f>
        <v>0</v>
      </c>
      <c r="AY68">
        <f>MIN(AX68,AX69)</f>
        <v>-10</v>
      </c>
      <c r="AZ68">
        <f>IF(C8&lt;60,AY68,0)</f>
        <v>0</v>
      </c>
    </row>
    <row r="69" spans="1:52" x14ac:dyDescent="0.25">
      <c r="A69" s="1" t="s">
        <v>36</v>
      </c>
      <c r="B69" s="1"/>
      <c r="C69" s="1"/>
      <c r="D69" s="1"/>
      <c r="E69" s="56">
        <v>2078.42</v>
      </c>
      <c r="F69" s="10" t="s">
        <v>12</v>
      </c>
      <c r="G69" s="22">
        <f>IF(C16&gt;C8,AZ69,AR69)</f>
        <v>0</v>
      </c>
      <c r="H69" s="22" t="s">
        <v>22</v>
      </c>
      <c r="I69" s="33">
        <f t="shared" si="6"/>
        <v>0</v>
      </c>
      <c r="AR69">
        <f>AQ68-AR68</f>
        <v>0</v>
      </c>
      <c r="AX69">
        <f>C16-C8</f>
        <v>-10</v>
      </c>
      <c r="AY69">
        <f>IF(AX69-AX68&lt;0,0,AX69-AX68)</f>
        <v>0</v>
      </c>
      <c r="AZ69">
        <f>IF(C16&gt;=60,AY69,0)</f>
        <v>0</v>
      </c>
    </row>
    <row r="70" spans="1:52" x14ac:dyDescent="0.25">
      <c r="I70" s="26">
        <f>SUM(I68:I69)</f>
        <v>0</v>
      </c>
    </row>
    <row r="72" spans="1:52" x14ac:dyDescent="0.25">
      <c r="A72" s="24" t="s">
        <v>58</v>
      </c>
    </row>
    <row r="73" spans="1:52" x14ac:dyDescent="0.25">
      <c r="A73" s="47" t="s">
        <v>60</v>
      </c>
      <c r="B73" s="48"/>
      <c r="C73" s="48"/>
      <c r="D73" s="48"/>
      <c r="E73" s="49"/>
      <c r="F73" s="49"/>
      <c r="G73" s="48"/>
      <c r="H73" s="50"/>
      <c r="I73" s="48"/>
    </row>
    <row r="74" spans="1:52" x14ac:dyDescent="0.25">
      <c r="A74" t="s">
        <v>50</v>
      </c>
    </row>
    <row r="75" spans="1:52" x14ac:dyDescent="0.25">
      <c r="A75" t="s">
        <v>37</v>
      </c>
    </row>
    <row r="77" spans="1:52" ht="63" x14ac:dyDescent="0.25">
      <c r="B77" t="s">
        <v>46</v>
      </c>
      <c r="C77" s="12" t="s">
        <v>41</v>
      </c>
      <c r="E77" s="12" t="s">
        <v>40</v>
      </c>
      <c r="F77"/>
      <c r="G77" s="12" t="s">
        <v>39</v>
      </c>
      <c r="I77" t="s">
        <v>43</v>
      </c>
      <c r="K77" s="5" t="s">
        <v>44</v>
      </c>
    </row>
    <row r="78" spans="1:52" x14ac:dyDescent="0.25">
      <c r="A78" t="s">
        <v>38</v>
      </c>
      <c r="B78" s="4">
        <f>IF(E46="non",C8,0)</f>
        <v>80</v>
      </c>
      <c r="C78" s="9">
        <f>IF(E46="non",I16,0)</f>
        <v>17836</v>
      </c>
    </row>
    <row r="79" spans="1:52" x14ac:dyDescent="0.25">
      <c r="A79" s="1" t="s">
        <v>45</v>
      </c>
      <c r="B79" s="3">
        <v>0</v>
      </c>
      <c r="C79" s="35">
        <f>B79*260</f>
        <v>0</v>
      </c>
      <c r="D79" s="1"/>
      <c r="E79" s="10"/>
      <c r="F79" s="10"/>
      <c r="G79" s="1"/>
      <c r="H79" s="22"/>
      <c r="I79" s="1"/>
      <c r="J79" s="1"/>
      <c r="K79" s="1"/>
    </row>
    <row r="80" spans="1:52" x14ac:dyDescent="0.25">
      <c r="C80" s="9">
        <f>SUM(C78:C79)</f>
        <v>17836</v>
      </c>
      <c r="D80" s="4" t="s">
        <v>42</v>
      </c>
      <c r="E80" s="9">
        <f>B78*260</f>
        <v>20800</v>
      </c>
      <c r="F80" s="4" t="s">
        <v>22</v>
      </c>
      <c r="G80" s="34">
        <f>IF(C80=0,0,C80/E80)</f>
        <v>0.85750000000000004</v>
      </c>
      <c r="H80" s="6" t="s">
        <v>21</v>
      </c>
      <c r="I80" s="36">
        <v>0.9</v>
      </c>
      <c r="J80" t="s">
        <v>22</v>
      </c>
      <c r="K80" s="34">
        <f>IF(G80=0,0,IF(G80&gt;I80,0,G80-I80))</f>
        <v>-4.2499999999999982E-2</v>
      </c>
    </row>
    <row r="82" spans="1:11" x14ac:dyDescent="0.25">
      <c r="A82" s="14" t="s">
        <v>10</v>
      </c>
    </row>
    <row r="83" spans="1:11" x14ac:dyDescent="0.25">
      <c r="A83" s="14" t="s">
        <v>51</v>
      </c>
    </row>
    <row r="84" spans="1:11" x14ac:dyDescent="0.25">
      <c r="A84" t="s">
        <v>24</v>
      </c>
      <c r="B84" s="60" t="s">
        <v>61</v>
      </c>
      <c r="C84" s="37">
        <f>K80</f>
        <v>-4.2499999999999982E-2</v>
      </c>
      <c r="D84" s="4" t="s">
        <v>12</v>
      </c>
      <c r="E84" s="6">
        <f>IF(B84="oui",B78,0)</f>
        <v>80</v>
      </c>
      <c r="F84" s="6" t="s">
        <v>12</v>
      </c>
      <c r="G84" s="55">
        <f>G50</f>
        <v>587.83000000000004</v>
      </c>
      <c r="H84" s="4" t="s">
        <v>22</v>
      </c>
      <c r="I84" s="26">
        <f>C84*E84*G84</f>
        <v>-1998.6219999999994</v>
      </c>
    </row>
    <row r="85" spans="1:11" x14ac:dyDescent="0.25">
      <c r="C85" s="37"/>
      <c r="D85" s="4"/>
      <c r="G85" s="55"/>
      <c r="I85" s="26"/>
    </row>
    <row r="86" spans="1:11" x14ac:dyDescent="0.25">
      <c r="A86" t="s">
        <v>25</v>
      </c>
      <c r="B86" s="60" t="s">
        <v>61</v>
      </c>
      <c r="C86" s="37">
        <f>C84</f>
        <v>-4.2499999999999982E-2</v>
      </c>
      <c r="D86" s="4" t="s">
        <v>12</v>
      </c>
      <c r="E86" s="6">
        <f>IF(B86="oui",B78,0)</f>
        <v>80</v>
      </c>
      <c r="F86" s="6" t="s">
        <v>12</v>
      </c>
      <c r="G86" s="55">
        <f>G84</f>
        <v>587.83000000000004</v>
      </c>
      <c r="H86" s="4" t="s">
        <v>22</v>
      </c>
      <c r="I86" s="26">
        <f>C86*E86*G86</f>
        <v>-1998.6219999999994</v>
      </c>
    </row>
    <row r="87" spans="1:11" x14ac:dyDescent="0.25">
      <c r="A87" s="1"/>
      <c r="B87" s="1"/>
      <c r="C87" s="38">
        <f>C86</f>
        <v>-4.2499999999999982E-2</v>
      </c>
      <c r="D87" s="22" t="s">
        <v>12</v>
      </c>
      <c r="E87" s="10">
        <f>IF(B86="oui",B78,0)</f>
        <v>80</v>
      </c>
      <c r="F87" s="10" t="s">
        <v>12</v>
      </c>
      <c r="G87" s="33">
        <f>E64</f>
        <v>1941</v>
      </c>
      <c r="H87" s="22" t="s">
        <v>22</v>
      </c>
      <c r="I87" s="58">
        <f>C87*E87*G87</f>
        <v>-6599.3999999999969</v>
      </c>
    </row>
    <row r="88" spans="1:11" x14ac:dyDescent="0.25">
      <c r="I88" s="26">
        <f>SUM(I86:I87)</f>
        <v>-8598.0219999999972</v>
      </c>
      <c r="K88" s="24" t="s">
        <v>66</v>
      </c>
    </row>
    <row r="89" spans="1:11" x14ac:dyDescent="0.25">
      <c r="A89" s="14" t="s">
        <v>53</v>
      </c>
    </row>
    <row r="90" spans="1:11" x14ac:dyDescent="0.25">
      <c r="A90" t="s">
        <v>35</v>
      </c>
      <c r="C90" s="37">
        <f>C86</f>
        <v>-4.2499999999999982E-2</v>
      </c>
      <c r="D90" s="4" t="s">
        <v>12</v>
      </c>
      <c r="E90" s="6">
        <f>MIN(E84,60)</f>
        <v>60</v>
      </c>
      <c r="F90" s="6" t="s">
        <v>12</v>
      </c>
      <c r="G90" s="55">
        <v>2358.1999999999998</v>
      </c>
      <c r="H90" s="4" t="s">
        <v>22</v>
      </c>
      <c r="I90" s="26">
        <f t="shared" ref="I90:I91" si="7">C90*E90*G90</f>
        <v>-6013.4099999999971</v>
      </c>
    </row>
    <row r="91" spans="1:11" x14ac:dyDescent="0.25">
      <c r="A91" s="1" t="s">
        <v>36</v>
      </c>
      <c r="B91" s="1"/>
      <c r="C91" s="38">
        <f>C90</f>
        <v>-4.2499999999999982E-2</v>
      </c>
      <c r="D91" s="22" t="s">
        <v>12</v>
      </c>
      <c r="E91" s="10">
        <f>IF(E84&gt;60,E84-E90,0)</f>
        <v>20</v>
      </c>
      <c r="F91" s="10" t="s">
        <v>12</v>
      </c>
      <c r="G91" s="56">
        <v>2078.42</v>
      </c>
      <c r="H91" s="22" t="s">
        <v>22</v>
      </c>
      <c r="I91" s="58">
        <f t="shared" si="7"/>
        <v>-1766.6569999999992</v>
      </c>
    </row>
    <row r="92" spans="1:11" x14ac:dyDescent="0.25">
      <c r="I92" s="26">
        <f>SUM(I90:I91)</f>
        <v>-7780.0669999999964</v>
      </c>
    </row>
  </sheetData>
  <dataValidations count="2">
    <dataValidation type="list" allowBlank="1" showInputMessage="1" showErrorMessage="1" sqref="C64" xr:uid="{3618B427-9B47-C44B-BDDC-C2FADB76E39F}">
      <formula1>$C$58:$C$62</formula1>
    </dataValidation>
    <dataValidation type="list" allowBlank="1" showInputMessage="1" showErrorMessage="1" sqref="E46 B48 B52 B84 B86" xr:uid="{046230F3-5FDE-CB44-8538-0AFAE46E732D}">
      <formula1>$V$46:$V$47</formula1>
    </dataValidation>
  </dataValidation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BF2B7-20E6-2048-81A1-5A146E82B622}">
  <dimension ref="A1:AZ92"/>
  <sheetViews>
    <sheetView zoomScaleNormal="100" workbookViewId="0">
      <selection activeCell="B52" sqref="B52"/>
    </sheetView>
  </sheetViews>
  <sheetFormatPr baseColWidth="10" defaultRowHeight="15.75" x14ac:dyDescent="0.25"/>
  <cols>
    <col min="1" max="1" width="35.875" customWidth="1"/>
    <col min="2" max="2" width="5.625" customWidth="1"/>
    <col min="3" max="3" width="14.375" customWidth="1"/>
    <col min="4" max="4" width="3.125" bestFit="1" customWidth="1"/>
    <col min="5" max="5" width="14.125" style="6" customWidth="1"/>
    <col min="6" max="6" width="3.875" style="6" customWidth="1"/>
    <col min="7" max="7" width="11.625" customWidth="1"/>
    <col min="8" max="8" width="5.875" style="4" customWidth="1"/>
    <col min="9" max="9" width="13" customWidth="1"/>
    <col min="10" max="10" width="2.5" customWidth="1"/>
    <col min="11" max="12" width="12.375" customWidth="1"/>
    <col min="14" max="14" width="12.875" customWidth="1"/>
  </cols>
  <sheetData>
    <row r="1" spans="1:14" x14ac:dyDescent="0.25">
      <c r="A1" s="14" t="s">
        <v>0</v>
      </c>
      <c r="B1" s="14"/>
      <c r="C1" s="24" t="s">
        <v>64</v>
      </c>
    </row>
    <row r="2" spans="1:14" x14ac:dyDescent="0.25">
      <c r="C2" s="24" t="s">
        <v>65</v>
      </c>
    </row>
    <row r="3" spans="1:14" x14ac:dyDescent="0.25">
      <c r="A3" s="40" t="s">
        <v>6</v>
      </c>
      <c r="B3" s="40"/>
      <c r="C3" s="41"/>
      <c r="D3" s="41"/>
      <c r="E3" s="42"/>
      <c r="F3" s="42"/>
      <c r="G3" s="41"/>
      <c r="H3" s="43"/>
      <c r="I3" s="41"/>
    </row>
    <row r="4" spans="1:14" ht="47.25" x14ac:dyDescent="0.25">
      <c r="C4" s="12" t="s">
        <v>7</v>
      </c>
      <c r="D4" s="12"/>
      <c r="E4" s="7" t="s">
        <v>47</v>
      </c>
      <c r="F4" s="7"/>
      <c r="G4" s="12" t="s">
        <v>5</v>
      </c>
      <c r="H4" s="12"/>
      <c r="I4" s="12" t="s">
        <v>8</v>
      </c>
      <c r="J4" s="12"/>
      <c r="K4" s="12"/>
      <c r="L4" s="7"/>
      <c r="M4" s="12"/>
      <c r="N4" s="12"/>
    </row>
    <row r="5" spans="1:14" x14ac:dyDescent="0.25">
      <c r="A5" t="s">
        <v>1</v>
      </c>
      <c r="C5" s="2">
        <v>10</v>
      </c>
      <c r="D5" s="12" t="s">
        <v>12</v>
      </c>
      <c r="E5" s="8">
        <v>1</v>
      </c>
      <c r="F5" s="6" t="s">
        <v>12</v>
      </c>
      <c r="G5" s="6">
        <v>260</v>
      </c>
      <c r="H5" s="6" t="s">
        <v>22</v>
      </c>
      <c r="I5" s="9">
        <f>C5*G5*E5</f>
        <v>2600</v>
      </c>
      <c r="J5" s="9"/>
      <c r="K5" s="4"/>
      <c r="L5" s="6"/>
      <c r="M5" s="6"/>
      <c r="N5" s="9"/>
    </row>
    <row r="6" spans="1:14" x14ac:dyDescent="0.25">
      <c r="A6" t="s">
        <v>2</v>
      </c>
      <c r="C6" s="2">
        <v>40</v>
      </c>
      <c r="D6" s="12" t="s">
        <v>12</v>
      </c>
      <c r="E6" s="8">
        <v>1</v>
      </c>
      <c r="F6" s="6" t="s">
        <v>12</v>
      </c>
      <c r="G6" s="6">
        <v>260</v>
      </c>
      <c r="H6" s="6" t="s">
        <v>22</v>
      </c>
      <c r="I6" s="9">
        <f t="shared" ref="I6:I7" si="0">C6*G6*E6</f>
        <v>10400</v>
      </c>
      <c r="J6" s="9"/>
      <c r="K6" s="4"/>
      <c r="L6" s="6"/>
      <c r="M6" s="6"/>
      <c r="N6" s="9"/>
    </row>
    <row r="7" spans="1:14" x14ac:dyDescent="0.25">
      <c r="A7" s="1" t="s">
        <v>3</v>
      </c>
      <c r="B7" s="1"/>
      <c r="C7" s="3">
        <v>20</v>
      </c>
      <c r="D7" s="51" t="s">
        <v>12</v>
      </c>
      <c r="E7" s="52">
        <v>1</v>
      </c>
      <c r="F7" s="10" t="s">
        <v>12</v>
      </c>
      <c r="G7" s="10">
        <v>260</v>
      </c>
      <c r="H7" s="10" t="s">
        <v>22</v>
      </c>
      <c r="I7" s="11">
        <f t="shared" si="0"/>
        <v>5200</v>
      </c>
      <c r="J7" s="9"/>
      <c r="K7" s="4"/>
      <c r="L7" s="6"/>
      <c r="M7" s="6"/>
      <c r="N7" s="9"/>
    </row>
    <row r="8" spans="1:14" x14ac:dyDescent="0.25">
      <c r="A8" t="s">
        <v>4</v>
      </c>
      <c r="C8" s="4">
        <f>SUM(C5:C7)</f>
        <v>70</v>
      </c>
      <c r="D8" s="4"/>
      <c r="E8" s="13">
        <f>IF(I8=0,0,I8/(C8*G8))</f>
        <v>1</v>
      </c>
      <c r="G8" s="6">
        <v>260</v>
      </c>
      <c r="H8" s="6"/>
      <c r="I8" s="59">
        <f>SUM(I5:I7)</f>
        <v>18200</v>
      </c>
      <c r="J8" s="9"/>
      <c r="K8" s="4"/>
      <c r="L8" s="13"/>
      <c r="M8" s="6"/>
      <c r="N8" s="9"/>
    </row>
    <row r="11" spans="1:14" x14ac:dyDescent="0.25">
      <c r="A11" s="44" t="s">
        <v>56</v>
      </c>
      <c r="B11" s="44"/>
      <c r="C11" s="45"/>
      <c r="D11" s="45"/>
      <c r="E11" s="45"/>
      <c r="F11" s="45"/>
      <c r="G11" s="45"/>
      <c r="H11" s="46"/>
      <c r="I11" s="45"/>
    </row>
    <row r="12" spans="1:14" ht="47.25" x14ac:dyDescent="0.25">
      <c r="C12" s="12" t="s">
        <v>7</v>
      </c>
      <c r="D12" s="12"/>
      <c r="E12" s="7" t="s">
        <v>48</v>
      </c>
      <c r="F12" s="7"/>
      <c r="G12" s="12" t="s">
        <v>5</v>
      </c>
      <c r="H12" s="12"/>
      <c r="I12" s="12" t="s">
        <v>8</v>
      </c>
    </row>
    <row r="13" spans="1:14" x14ac:dyDescent="0.25">
      <c r="A13" t="s">
        <v>1</v>
      </c>
      <c r="C13" s="2">
        <v>15</v>
      </c>
      <c r="D13" s="12" t="s">
        <v>12</v>
      </c>
      <c r="E13" s="8">
        <v>1</v>
      </c>
      <c r="F13" s="6" t="s">
        <v>12</v>
      </c>
      <c r="G13" s="6">
        <v>260</v>
      </c>
      <c r="H13" s="6" t="s">
        <v>22</v>
      </c>
      <c r="I13" s="9">
        <f>C13*G13*E13</f>
        <v>3900</v>
      </c>
    </row>
    <row r="14" spans="1:14" x14ac:dyDescent="0.25">
      <c r="A14" t="s">
        <v>2</v>
      </c>
      <c r="C14" s="2">
        <v>40</v>
      </c>
      <c r="D14" s="12" t="s">
        <v>12</v>
      </c>
      <c r="E14" s="8">
        <v>1</v>
      </c>
      <c r="F14" s="6" t="s">
        <v>12</v>
      </c>
      <c r="G14" s="6">
        <v>260</v>
      </c>
      <c r="H14" s="6" t="s">
        <v>22</v>
      </c>
      <c r="I14" s="9">
        <f t="shared" ref="I14:I15" si="1">C14*G14*E14</f>
        <v>10400</v>
      </c>
    </row>
    <row r="15" spans="1:14" x14ac:dyDescent="0.25">
      <c r="A15" s="1" t="s">
        <v>3</v>
      </c>
      <c r="B15" s="1"/>
      <c r="C15" s="3">
        <v>20</v>
      </c>
      <c r="D15" s="51" t="s">
        <v>12</v>
      </c>
      <c r="E15" s="52">
        <v>1</v>
      </c>
      <c r="F15" s="10" t="s">
        <v>12</v>
      </c>
      <c r="G15" s="10">
        <v>260</v>
      </c>
      <c r="H15" s="10" t="s">
        <v>22</v>
      </c>
      <c r="I15" s="11">
        <f t="shared" si="1"/>
        <v>5200</v>
      </c>
    </row>
    <row r="16" spans="1:14" x14ac:dyDescent="0.25">
      <c r="A16" t="s">
        <v>4</v>
      </c>
      <c r="C16" s="4">
        <f>SUM(C13:C15)</f>
        <v>75</v>
      </c>
      <c r="D16" s="4"/>
      <c r="E16" s="13">
        <f>IF(I16=0,0,I16/(C16*G16))</f>
        <v>1</v>
      </c>
      <c r="G16" s="6">
        <v>260</v>
      </c>
      <c r="H16" s="6"/>
      <c r="I16" s="59">
        <f>SUM(I13:I15)</f>
        <v>19500</v>
      </c>
    </row>
    <row r="18" spans="1:12" x14ac:dyDescent="0.25">
      <c r="A18" s="14" t="s">
        <v>49</v>
      </c>
      <c r="I18" s="9"/>
    </row>
    <row r="19" spans="1:12" x14ac:dyDescent="0.25">
      <c r="A19" t="s">
        <v>1</v>
      </c>
      <c r="I19" s="9">
        <f>I13-I5</f>
        <v>1300</v>
      </c>
    </row>
    <row r="20" spans="1:12" x14ac:dyDescent="0.25">
      <c r="A20" t="s">
        <v>2</v>
      </c>
      <c r="I20" s="9">
        <f t="shared" ref="I20:I21" si="2">I14-I6</f>
        <v>0</v>
      </c>
    </row>
    <row r="21" spans="1:12" x14ac:dyDescent="0.25">
      <c r="A21" s="1" t="s">
        <v>3</v>
      </c>
      <c r="B21" s="1"/>
      <c r="C21" s="1"/>
      <c r="D21" s="1"/>
      <c r="E21" s="10"/>
      <c r="F21" s="10"/>
      <c r="G21" s="1"/>
      <c r="H21" s="22"/>
      <c r="I21" s="11">
        <f t="shared" si="2"/>
        <v>0</v>
      </c>
    </row>
    <row r="22" spans="1:12" x14ac:dyDescent="0.25">
      <c r="A22" t="s">
        <v>4</v>
      </c>
      <c r="I22" s="59">
        <f>SUM(I19:I21)</f>
        <v>1300</v>
      </c>
    </row>
    <row r="23" spans="1:12" x14ac:dyDescent="0.25">
      <c r="C23" s="4"/>
      <c r="D23" s="4"/>
      <c r="E23" s="4"/>
      <c r="F23" s="4"/>
      <c r="G23" s="4"/>
      <c r="I23" s="4"/>
      <c r="J23" s="4"/>
      <c r="K23" s="4"/>
      <c r="L23" s="4"/>
    </row>
    <row r="24" spans="1:12" x14ac:dyDescent="0.25">
      <c r="C24" s="4"/>
      <c r="D24" s="4"/>
      <c r="E24" s="4"/>
      <c r="F24" s="4"/>
      <c r="G24" s="4"/>
      <c r="I24" s="4"/>
      <c r="J24" s="4"/>
      <c r="K24" s="4"/>
      <c r="L24" s="4"/>
    </row>
    <row r="25" spans="1:12" x14ac:dyDescent="0.25">
      <c r="A25" s="47" t="s">
        <v>10</v>
      </c>
      <c r="B25" s="47"/>
      <c r="C25" s="47"/>
      <c r="D25" s="47"/>
      <c r="E25" s="61"/>
      <c r="F25" s="61"/>
      <c r="G25" s="47"/>
      <c r="H25" s="63" t="s">
        <v>67</v>
      </c>
      <c r="I25" s="62">
        <f>I30+I37+I44+I50+I55+I64+I84+I88+I92</f>
        <v>109390.15</v>
      </c>
    </row>
    <row r="26" spans="1:12" x14ac:dyDescent="0.25">
      <c r="A26" s="14" t="s">
        <v>9</v>
      </c>
      <c r="B26" s="14"/>
      <c r="G26" s="6" t="s">
        <v>11</v>
      </c>
      <c r="H26" s="6"/>
    </row>
    <row r="27" spans="1:12" x14ac:dyDescent="0.25">
      <c r="A27" t="s">
        <v>1</v>
      </c>
      <c r="C27" s="9">
        <f>I19</f>
        <v>1300</v>
      </c>
      <c r="D27" s="9"/>
      <c r="E27" s="6" t="s">
        <v>12</v>
      </c>
      <c r="G27" s="55">
        <v>66.86</v>
      </c>
      <c r="H27" s="15" t="s">
        <v>22</v>
      </c>
      <c r="I27" s="17">
        <f>C27*G27</f>
        <v>86918</v>
      </c>
      <c r="J27" s="24" t="s">
        <v>57</v>
      </c>
    </row>
    <row r="28" spans="1:12" x14ac:dyDescent="0.25">
      <c r="A28" t="s">
        <v>2</v>
      </c>
      <c r="C28" s="9">
        <f t="shared" ref="C28:C29" si="3">I20</f>
        <v>0</v>
      </c>
      <c r="D28" s="9"/>
      <c r="E28" s="6" t="s">
        <v>12</v>
      </c>
      <c r="G28" s="55">
        <v>42.09</v>
      </c>
      <c r="H28" s="15" t="s">
        <v>22</v>
      </c>
      <c r="I28" s="17">
        <f t="shared" ref="I28:I29" si="4">C28*G28</f>
        <v>0</v>
      </c>
      <c r="J28" s="24" t="s">
        <v>57</v>
      </c>
    </row>
    <row r="29" spans="1:12" x14ac:dyDescent="0.25">
      <c r="A29" s="1" t="s">
        <v>3</v>
      </c>
      <c r="B29" s="1"/>
      <c r="C29" s="11">
        <f t="shared" si="3"/>
        <v>0</v>
      </c>
      <c r="D29" s="11"/>
      <c r="E29" s="10" t="s">
        <v>12</v>
      </c>
      <c r="F29" s="10"/>
      <c r="G29" s="56">
        <v>33.83</v>
      </c>
      <c r="H29" s="18" t="s">
        <v>22</v>
      </c>
      <c r="I29" s="19">
        <f t="shared" si="4"/>
        <v>0</v>
      </c>
      <c r="J29" s="24" t="s">
        <v>57</v>
      </c>
    </row>
    <row r="30" spans="1:12" x14ac:dyDescent="0.25">
      <c r="I30" s="26">
        <f>SUM(I27:I29)</f>
        <v>86918</v>
      </c>
    </row>
    <row r="32" spans="1:12" x14ac:dyDescent="0.25">
      <c r="A32" s="14" t="s">
        <v>13</v>
      </c>
    </row>
    <row r="33" spans="1:22" x14ac:dyDescent="0.25">
      <c r="A33" t="s">
        <v>14</v>
      </c>
      <c r="C33" s="9"/>
      <c r="D33" s="9"/>
    </row>
    <row r="34" spans="1:22" x14ac:dyDescent="0.25">
      <c r="A34" t="s">
        <v>18</v>
      </c>
      <c r="C34" s="9">
        <f>I22</f>
        <v>1300</v>
      </c>
      <c r="D34" s="9"/>
      <c r="E34" s="6" t="s">
        <v>15</v>
      </c>
      <c r="G34" s="55">
        <v>2.69</v>
      </c>
      <c r="H34" s="28" t="s">
        <v>22</v>
      </c>
      <c r="I34" s="17">
        <f>C34*G34</f>
        <v>3497</v>
      </c>
      <c r="J34" s="24" t="s">
        <v>54</v>
      </c>
      <c r="K34" s="24"/>
    </row>
    <row r="35" spans="1:22" x14ac:dyDescent="0.25">
      <c r="A35" t="s">
        <v>16</v>
      </c>
      <c r="C35" s="9">
        <f>C34</f>
        <v>1300</v>
      </c>
      <c r="D35" s="9"/>
      <c r="E35" s="6" t="s">
        <v>15</v>
      </c>
      <c r="G35" s="55">
        <v>3.14</v>
      </c>
      <c r="H35" s="28" t="s">
        <v>22</v>
      </c>
      <c r="I35" s="17">
        <f t="shared" ref="I35:I36" si="5">C35*G35</f>
        <v>4082</v>
      </c>
      <c r="J35" s="24" t="s">
        <v>54</v>
      </c>
      <c r="K35" s="24"/>
    </row>
    <row r="36" spans="1:22" ht="63" x14ac:dyDescent="0.25">
      <c r="A36" s="20" t="s">
        <v>17</v>
      </c>
      <c r="B36" s="20"/>
      <c r="C36" s="21">
        <f>C35</f>
        <v>1300</v>
      </c>
      <c r="D36" s="21"/>
      <c r="E36" s="10" t="s">
        <v>15</v>
      </c>
      <c r="F36" s="10"/>
      <c r="G36" s="56">
        <v>2.85</v>
      </c>
      <c r="H36" s="18" t="s">
        <v>22</v>
      </c>
      <c r="I36" s="23">
        <f t="shared" si="5"/>
        <v>3705</v>
      </c>
      <c r="J36" s="53" t="s">
        <v>54</v>
      </c>
      <c r="K36" s="25"/>
    </row>
    <row r="37" spans="1:22" x14ac:dyDescent="0.25">
      <c r="C37" s="16"/>
      <c r="D37" s="16"/>
      <c r="G37" s="16"/>
      <c r="H37" s="28"/>
      <c r="I37" s="26">
        <f>SUM(I34:I36)</f>
        <v>11284</v>
      </c>
    </row>
    <row r="39" spans="1:22" x14ac:dyDescent="0.25">
      <c r="A39" t="s">
        <v>19</v>
      </c>
    </row>
    <row r="40" spans="1:22" x14ac:dyDescent="0.25">
      <c r="A40" t="s">
        <v>20</v>
      </c>
    </row>
    <row r="41" spans="1:22" x14ac:dyDescent="0.25">
      <c r="A41" s="9">
        <f>20800</f>
        <v>20800</v>
      </c>
      <c r="B41" s="6" t="s">
        <v>21</v>
      </c>
      <c r="C41" s="27">
        <f>I8</f>
        <v>18200</v>
      </c>
      <c r="D41" s="27" t="s">
        <v>22</v>
      </c>
      <c r="E41" s="9">
        <f>A41-C41</f>
        <v>2600</v>
      </c>
      <c r="F41" s="4" t="s">
        <v>12</v>
      </c>
      <c r="G41" s="55">
        <v>1.1200000000000001</v>
      </c>
      <c r="H41" s="28" t="s">
        <v>22</v>
      </c>
      <c r="I41" s="17">
        <f>E41*G41</f>
        <v>2912.0000000000005</v>
      </c>
    </row>
    <row r="42" spans="1:22" x14ac:dyDescent="0.25">
      <c r="A42" t="s">
        <v>23</v>
      </c>
      <c r="G42" s="55"/>
    </row>
    <row r="43" spans="1:22" x14ac:dyDescent="0.25">
      <c r="A43" s="11">
        <f>20800</f>
        <v>20800</v>
      </c>
      <c r="B43" s="10" t="s">
        <v>21</v>
      </c>
      <c r="C43" s="29">
        <f>I16</f>
        <v>19500</v>
      </c>
      <c r="D43" s="29" t="s">
        <v>22</v>
      </c>
      <c r="E43" s="11">
        <f>A43-C43</f>
        <v>1300</v>
      </c>
      <c r="F43" s="22" t="s">
        <v>12</v>
      </c>
      <c r="G43" s="56">
        <v>1.1200000000000001</v>
      </c>
      <c r="H43" s="30" t="s">
        <v>22</v>
      </c>
      <c r="I43" s="19">
        <f>E43*G43</f>
        <v>1456.0000000000002</v>
      </c>
    </row>
    <row r="44" spans="1:22" x14ac:dyDescent="0.25">
      <c r="I44" s="26">
        <f>I43-I41</f>
        <v>-1456.0000000000002</v>
      </c>
    </row>
    <row r="45" spans="1:22" x14ac:dyDescent="0.25">
      <c r="A45" s="14" t="s">
        <v>59</v>
      </c>
    </row>
    <row r="46" spans="1:22" x14ac:dyDescent="0.25">
      <c r="A46" s="47" t="s">
        <v>63</v>
      </c>
      <c r="B46" s="48"/>
      <c r="C46" s="48"/>
      <c r="D46" s="48"/>
      <c r="E46" s="57" t="s">
        <v>61</v>
      </c>
      <c r="F46" s="49"/>
      <c r="G46" s="48"/>
      <c r="H46" s="50"/>
      <c r="I46" s="48"/>
      <c r="V46" t="s">
        <v>61</v>
      </c>
    </row>
    <row r="47" spans="1:22" x14ac:dyDescent="0.25">
      <c r="A47" s="14" t="s">
        <v>51</v>
      </c>
      <c r="V47" t="s">
        <v>62</v>
      </c>
    </row>
    <row r="48" spans="1:22" x14ac:dyDescent="0.25">
      <c r="A48" s="14" t="s">
        <v>24</v>
      </c>
      <c r="B48" s="60" t="s">
        <v>62</v>
      </c>
    </row>
    <row r="49" spans="1:11" x14ac:dyDescent="0.25">
      <c r="A49" t="s">
        <v>26</v>
      </c>
    </row>
    <row r="50" spans="1:11" x14ac:dyDescent="0.25">
      <c r="A50" s="6">
        <f>IF(E46="non",0,IF(B48="oui",C16,0))</f>
        <v>0</v>
      </c>
      <c r="B50" s="4" t="s">
        <v>21</v>
      </c>
      <c r="C50" s="6">
        <f>IF(E46="non",0,IF(B48="oui",C8,0))</f>
        <v>0</v>
      </c>
      <c r="D50" s="6" t="s">
        <v>22</v>
      </c>
      <c r="E50" s="4">
        <f>A50-C50</f>
        <v>0</v>
      </c>
      <c r="F50" s="4" t="s">
        <v>12</v>
      </c>
      <c r="G50" s="55">
        <v>587.83000000000004</v>
      </c>
      <c r="H50" s="4" t="s">
        <v>22</v>
      </c>
      <c r="I50" s="26">
        <f>E50*G50</f>
        <v>0</v>
      </c>
    </row>
    <row r="51" spans="1:11" x14ac:dyDescent="0.25">
      <c r="I51" s="39"/>
    </row>
    <row r="52" spans="1:11" x14ac:dyDescent="0.25">
      <c r="A52" s="14" t="s">
        <v>25</v>
      </c>
      <c r="B52" s="60" t="s">
        <v>61</v>
      </c>
      <c r="I52" s="39"/>
    </row>
    <row r="53" spans="1:11" x14ac:dyDescent="0.25">
      <c r="A53" t="s">
        <v>52</v>
      </c>
      <c r="I53" s="39"/>
    </row>
    <row r="54" spans="1:11" x14ac:dyDescent="0.25">
      <c r="A54" t="s">
        <v>26</v>
      </c>
      <c r="I54" s="39"/>
    </row>
    <row r="55" spans="1:11" x14ac:dyDescent="0.25">
      <c r="A55" s="6">
        <f>IF(E46="non",0,IF(B52="oui",C16,0))</f>
        <v>75</v>
      </c>
      <c r="B55" s="4" t="s">
        <v>21</v>
      </c>
      <c r="C55" s="6">
        <f>IF(E46="non",0,IF(B52="oui",C8,0))</f>
        <v>70</v>
      </c>
      <c r="D55" s="6" t="s">
        <v>22</v>
      </c>
      <c r="E55" s="4">
        <f>A55-C55</f>
        <v>5</v>
      </c>
      <c r="F55" s="4" t="s">
        <v>12</v>
      </c>
      <c r="G55" s="55">
        <v>587.83000000000004</v>
      </c>
      <c r="H55" s="4" t="s">
        <v>22</v>
      </c>
      <c r="I55" s="26">
        <f>E55*G55</f>
        <v>2939.15</v>
      </c>
    </row>
    <row r="56" spans="1:11" x14ac:dyDescent="0.25">
      <c r="A56" t="s">
        <v>19</v>
      </c>
    </row>
    <row r="57" spans="1:11" ht="47.25" x14ac:dyDescent="0.25">
      <c r="C57" s="12" t="s">
        <v>27</v>
      </c>
      <c r="D57" s="4"/>
      <c r="E57" s="7" t="s">
        <v>28</v>
      </c>
    </row>
    <row r="58" spans="1:11" x14ac:dyDescent="0.25">
      <c r="A58" t="s">
        <v>29</v>
      </c>
      <c r="C58" s="4">
        <v>1</v>
      </c>
      <c r="D58" s="4"/>
      <c r="E58" s="31">
        <v>1941</v>
      </c>
    </row>
    <row r="59" spans="1:11" x14ac:dyDescent="0.25">
      <c r="A59" t="s">
        <v>30</v>
      </c>
      <c r="C59" s="4">
        <v>2</v>
      </c>
      <c r="D59" s="4"/>
      <c r="E59" s="31">
        <v>1665</v>
      </c>
    </row>
    <row r="60" spans="1:11" x14ac:dyDescent="0.25">
      <c r="A60" t="s">
        <v>31</v>
      </c>
      <c r="C60" s="4">
        <v>3</v>
      </c>
      <c r="D60" s="4"/>
      <c r="E60" s="31">
        <v>1665</v>
      </c>
    </row>
    <row r="61" spans="1:11" x14ac:dyDescent="0.25">
      <c r="A61" t="s">
        <v>32</v>
      </c>
      <c r="C61" s="4">
        <v>4</v>
      </c>
      <c r="D61" s="4"/>
      <c r="E61" s="31">
        <v>935</v>
      </c>
    </row>
    <row r="62" spans="1:11" x14ac:dyDescent="0.25">
      <c r="A62" t="s">
        <v>33</v>
      </c>
      <c r="C62" s="4">
        <v>5</v>
      </c>
      <c r="D62" s="4"/>
      <c r="E62" s="31">
        <v>821</v>
      </c>
    </row>
    <row r="63" spans="1:11" x14ac:dyDescent="0.25">
      <c r="C63" s="4"/>
      <c r="D63" s="4"/>
      <c r="E63" s="31"/>
    </row>
    <row r="64" spans="1:11" x14ac:dyDescent="0.25">
      <c r="A64" t="s">
        <v>34</v>
      </c>
      <c r="C64" s="2">
        <v>1</v>
      </c>
      <c r="E64" s="31">
        <f>VLOOKUP(C64,C58:E62,3)</f>
        <v>1941</v>
      </c>
      <c r="F64" s="6" t="s">
        <v>12</v>
      </c>
      <c r="G64" s="4">
        <f>E55</f>
        <v>5</v>
      </c>
      <c r="H64" s="4" t="s">
        <v>22</v>
      </c>
      <c r="I64" s="26">
        <f>E64*G64</f>
        <v>9705</v>
      </c>
      <c r="K64" s="24" t="s">
        <v>66</v>
      </c>
    </row>
    <row r="65" spans="1:52" x14ac:dyDescent="0.25">
      <c r="K65" s="24" t="s">
        <v>55</v>
      </c>
    </row>
    <row r="67" spans="1:52" x14ac:dyDescent="0.25">
      <c r="A67" s="14" t="s">
        <v>53</v>
      </c>
    </row>
    <row r="68" spans="1:52" x14ac:dyDescent="0.25">
      <c r="A68" t="s">
        <v>35</v>
      </c>
      <c r="E68" s="54">
        <v>2358.1999999999998</v>
      </c>
      <c r="F68" s="6" t="s">
        <v>12</v>
      </c>
      <c r="G68" s="4">
        <f>IF(C16&gt;C8,AZ68,AR68)</f>
        <v>0</v>
      </c>
      <c r="H68" s="4" t="s">
        <v>22</v>
      </c>
      <c r="I68" s="32">
        <f t="shared" ref="I68:I69" si="6">E68*G68</f>
        <v>0</v>
      </c>
      <c r="AO68" t="b">
        <f>IF(C16&lt;60,0)</f>
        <v>0</v>
      </c>
      <c r="AP68">
        <f>IF(AO68=0,C16-60,0)</f>
        <v>0</v>
      </c>
      <c r="AQ68">
        <f>IF(G64=0,E50,G64)</f>
        <v>5</v>
      </c>
      <c r="AR68">
        <f>MAX(AP68,AQ68)</f>
        <v>5</v>
      </c>
      <c r="AX68">
        <f>IF(C8&lt;60,60-C8,0)</f>
        <v>0</v>
      </c>
      <c r="AY68">
        <f>MIN(AX68,AX69)</f>
        <v>0</v>
      </c>
      <c r="AZ68">
        <f>IF(E46="non",0,IF(C8&lt;60,AY68,0))</f>
        <v>0</v>
      </c>
    </row>
    <row r="69" spans="1:52" x14ac:dyDescent="0.25">
      <c r="A69" s="1" t="s">
        <v>36</v>
      </c>
      <c r="B69" s="1"/>
      <c r="C69" s="1"/>
      <c r="D69" s="1"/>
      <c r="E69" s="56">
        <v>2078.42</v>
      </c>
      <c r="F69" s="10" t="s">
        <v>12</v>
      </c>
      <c r="G69" s="22">
        <f>IF(C16&gt;C8,AZ69,AR69)</f>
        <v>5</v>
      </c>
      <c r="H69" s="22" t="s">
        <v>22</v>
      </c>
      <c r="I69" s="33">
        <f t="shared" si="6"/>
        <v>10392.1</v>
      </c>
      <c r="AR69">
        <f>AQ68-AR68</f>
        <v>0</v>
      </c>
      <c r="AX69">
        <f>C16-C8</f>
        <v>5</v>
      </c>
      <c r="AY69">
        <f>IF(AX69-AX68&lt;0,0,AX69-AX68)</f>
        <v>5</v>
      </c>
      <c r="AZ69">
        <f>IF(E46="non",0,IF(C16&gt;=60,AY69,0))</f>
        <v>5</v>
      </c>
    </row>
    <row r="70" spans="1:52" x14ac:dyDescent="0.25">
      <c r="I70" s="26">
        <f>SUM(I68:I69)</f>
        <v>10392.1</v>
      </c>
    </row>
    <row r="72" spans="1:52" x14ac:dyDescent="0.25">
      <c r="A72" s="24" t="s">
        <v>58</v>
      </c>
    </row>
    <row r="73" spans="1:52" x14ac:dyDescent="0.25">
      <c r="A73" s="47" t="s">
        <v>60</v>
      </c>
      <c r="B73" s="48"/>
      <c r="C73" s="48"/>
      <c r="D73" s="48"/>
      <c r="E73" s="49"/>
      <c r="F73" s="49"/>
      <c r="G73" s="48"/>
      <c r="H73" s="50"/>
      <c r="I73" s="48"/>
    </row>
    <row r="74" spans="1:52" x14ac:dyDescent="0.25">
      <c r="A74" t="s">
        <v>50</v>
      </c>
    </row>
    <row r="75" spans="1:52" x14ac:dyDescent="0.25">
      <c r="A75" t="s">
        <v>37</v>
      </c>
    </row>
    <row r="77" spans="1:52" ht="63" x14ac:dyDescent="0.25">
      <c r="B77" t="s">
        <v>46</v>
      </c>
      <c r="C77" s="12" t="s">
        <v>41</v>
      </c>
      <c r="E77" s="12" t="s">
        <v>40</v>
      </c>
      <c r="F77"/>
      <c r="G77" s="12" t="s">
        <v>39</v>
      </c>
      <c r="I77" t="s">
        <v>43</v>
      </c>
      <c r="K77" s="5" t="s">
        <v>44</v>
      </c>
    </row>
    <row r="78" spans="1:52" x14ac:dyDescent="0.25">
      <c r="A78" t="s">
        <v>38</v>
      </c>
      <c r="B78" s="4">
        <f>IF(E46="non",C8,0)</f>
        <v>0</v>
      </c>
      <c r="C78" s="9">
        <f>IF(E46="non",I16,0)</f>
        <v>0</v>
      </c>
    </row>
    <row r="79" spans="1:52" x14ac:dyDescent="0.25">
      <c r="A79" s="1" t="s">
        <v>45</v>
      </c>
      <c r="B79" s="3">
        <v>0</v>
      </c>
      <c r="C79" s="35">
        <f>B79*260</f>
        <v>0</v>
      </c>
      <c r="D79" s="1"/>
      <c r="E79" s="10"/>
      <c r="F79" s="10"/>
      <c r="G79" s="1"/>
      <c r="H79" s="22"/>
      <c r="I79" s="1"/>
      <c r="J79" s="1"/>
      <c r="K79" s="1"/>
    </row>
    <row r="80" spans="1:52" x14ac:dyDescent="0.25">
      <c r="C80" s="9">
        <f>SUM(C78:C79)</f>
        <v>0</v>
      </c>
      <c r="D80" s="4" t="s">
        <v>42</v>
      </c>
      <c r="E80" s="9">
        <f>B78*260</f>
        <v>0</v>
      </c>
      <c r="F80" s="4" t="s">
        <v>22</v>
      </c>
      <c r="G80" s="34">
        <f>IF(C80=0,0,C80/E80)</f>
        <v>0</v>
      </c>
      <c r="H80" s="6" t="s">
        <v>21</v>
      </c>
      <c r="I80" s="36">
        <v>0.9</v>
      </c>
      <c r="J80" t="s">
        <v>22</v>
      </c>
      <c r="K80" s="34">
        <f>IF(G80=0,0,IF(G80&gt;I80,0,G80-I80))</f>
        <v>0</v>
      </c>
    </row>
    <row r="82" spans="1:11" x14ac:dyDescent="0.25">
      <c r="A82" s="14" t="s">
        <v>10</v>
      </c>
    </row>
    <row r="83" spans="1:11" x14ac:dyDescent="0.25">
      <c r="A83" s="14" t="s">
        <v>51</v>
      </c>
    </row>
    <row r="84" spans="1:11" x14ac:dyDescent="0.25">
      <c r="A84" t="s">
        <v>24</v>
      </c>
      <c r="B84" s="60" t="s">
        <v>61</v>
      </c>
      <c r="C84" s="37">
        <f>K80</f>
        <v>0</v>
      </c>
      <c r="D84" s="4" t="s">
        <v>12</v>
      </c>
      <c r="E84" s="6">
        <f>IF(B84="oui",B78,0)</f>
        <v>0</v>
      </c>
      <c r="F84" s="6" t="s">
        <v>12</v>
      </c>
      <c r="G84" s="55">
        <f>G50</f>
        <v>587.83000000000004</v>
      </c>
      <c r="H84" s="4" t="s">
        <v>22</v>
      </c>
      <c r="I84" s="26">
        <f>C84*E84*G84</f>
        <v>0</v>
      </c>
    </row>
    <row r="85" spans="1:11" x14ac:dyDescent="0.25">
      <c r="C85" s="37"/>
      <c r="D85" s="4"/>
      <c r="G85" s="55"/>
      <c r="I85" s="26"/>
    </row>
    <row r="86" spans="1:11" x14ac:dyDescent="0.25">
      <c r="A86" t="s">
        <v>25</v>
      </c>
      <c r="B86" s="60" t="s">
        <v>61</v>
      </c>
      <c r="C86" s="37">
        <f>C84</f>
        <v>0</v>
      </c>
      <c r="D86" s="4" t="s">
        <v>12</v>
      </c>
      <c r="E86" s="6">
        <f>IF(B86="oui",B78,0)</f>
        <v>0</v>
      </c>
      <c r="F86" s="6" t="s">
        <v>12</v>
      </c>
      <c r="G86" s="55">
        <f>G84</f>
        <v>587.83000000000004</v>
      </c>
      <c r="H86" s="4" t="s">
        <v>22</v>
      </c>
      <c r="I86" s="26">
        <f>C86*E86*G86</f>
        <v>0</v>
      </c>
    </row>
    <row r="87" spans="1:11" x14ac:dyDescent="0.25">
      <c r="A87" s="1"/>
      <c r="B87" s="1"/>
      <c r="C87" s="38">
        <f>C86</f>
        <v>0</v>
      </c>
      <c r="D87" s="22" t="s">
        <v>12</v>
      </c>
      <c r="E87" s="10">
        <f>IF(B86="oui",B78,0)</f>
        <v>0</v>
      </c>
      <c r="F87" s="10" t="s">
        <v>12</v>
      </c>
      <c r="G87" s="33">
        <f>E64</f>
        <v>1941</v>
      </c>
      <c r="H87" s="22" t="s">
        <v>22</v>
      </c>
      <c r="I87" s="58">
        <f>C87*E87*G87</f>
        <v>0</v>
      </c>
    </row>
    <row r="88" spans="1:11" x14ac:dyDescent="0.25">
      <c r="I88" s="26">
        <f>SUM(I86:I87)</f>
        <v>0</v>
      </c>
      <c r="K88" s="24" t="s">
        <v>66</v>
      </c>
    </row>
    <row r="89" spans="1:11" x14ac:dyDescent="0.25">
      <c r="A89" s="14" t="s">
        <v>53</v>
      </c>
    </row>
    <row r="90" spans="1:11" x14ac:dyDescent="0.25">
      <c r="A90" t="s">
        <v>35</v>
      </c>
      <c r="C90" s="37">
        <f>C86</f>
        <v>0</v>
      </c>
      <c r="D90" s="4" t="s">
        <v>12</v>
      </c>
      <c r="E90" s="6">
        <f>MIN(E84,60)</f>
        <v>0</v>
      </c>
      <c r="F90" s="6" t="s">
        <v>12</v>
      </c>
      <c r="G90" s="55">
        <v>2358.1999999999998</v>
      </c>
      <c r="H90" s="4" t="s">
        <v>22</v>
      </c>
      <c r="I90" s="26">
        <f t="shared" ref="I90:I91" si="7">C90*E90*G90</f>
        <v>0</v>
      </c>
    </row>
    <row r="91" spans="1:11" x14ac:dyDescent="0.25">
      <c r="A91" s="1" t="s">
        <v>36</v>
      </c>
      <c r="B91" s="1"/>
      <c r="C91" s="38">
        <f>C90</f>
        <v>0</v>
      </c>
      <c r="D91" s="22" t="s">
        <v>12</v>
      </c>
      <c r="E91" s="10">
        <f>IF(E84&gt;60,E84-E90,0)</f>
        <v>0</v>
      </c>
      <c r="F91" s="10" t="s">
        <v>12</v>
      </c>
      <c r="G91" s="56">
        <v>2078.42</v>
      </c>
      <c r="H91" s="22" t="s">
        <v>22</v>
      </c>
      <c r="I91" s="58">
        <f t="shared" si="7"/>
        <v>0</v>
      </c>
    </row>
    <row r="92" spans="1:11" x14ac:dyDescent="0.25">
      <c r="I92" s="26">
        <f>SUM(I90:I91)</f>
        <v>0</v>
      </c>
    </row>
  </sheetData>
  <dataValidations count="2">
    <dataValidation type="list" allowBlank="1" showInputMessage="1" showErrorMessage="1" sqref="E46 B48 B52 B84 B86" xr:uid="{7C650176-189B-D64D-AA38-FE1C48E96771}">
      <formula1>$V$46:$V$47</formula1>
    </dataValidation>
    <dataValidation type="list" allowBlank="1" showInputMessage="1" showErrorMessage="1" sqref="C64" xr:uid="{AD07EEDB-F91B-4047-BACB-FEE2F37983C4}">
      <formula1>$C$58:$C$62</formula1>
    </dataValidation>
  </dataValidation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D2FC6-EBA4-A845-AE90-5E74C1777B0B}">
  <dimension ref="A1:AZ92"/>
  <sheetViews>
    <sheetView tabSelected="1" zoomScaleNormal="100" workbookViewId="0">
      <selection activeCell="C6" sqref="C6"/>
    </sheetView>
  </sheetViews>
  <sheetFormatPr baseColWidth="10" defaultRowHeight="15.75" x14ac:dyDescent="0.25"/>
  <cols>
    <col min="1" max="1" width="35.875" customWidth="1"/>
    <col min="2" max="2" width="5.625" customWidth="1"/>
    <col min="3" max="3" width="14.375" customWidth="1"/>
    <col min="4" max="4" width="3.125" bestFit="1" customWidth="1"/>
    <col min="5" max="5" width="14.125" style="6" customWidth="1"/>
    <col min="6" max="6" width="3.875" style="6" customWidth="1"/>
    <col min="7" max="7" width="11.625" customWidth="1"/>
    <col min="8" max="8" width="5.875" style="4" customWidth="1"/>
    <col min="9" max="9" width="13" customWidth="1"/>
    <col min="10" max="10" width="2.5" customWidth="1"/>
    <col min="11" max="12" width="12.375" customWidth="1"/>
    <col min="14" max="14" width="12.875" customWidth="1"/>
  </cols>
  <sheetData>
    <row r="1" spans="1:14" x14ac:dyDescent="0.25">
      <c r="A1" s="14" t="s">
        <v>0</v>
      </c>
      <c r="B1" s="14"/>
      <c r="C1" s="24" t="s">
        <v>64</v>
      </c>
    </row>
    <row r="2" spans="1:14" x14ac:dyDescent="0.25">
      <c r="C2" s="24" t="s">
        <v>65</v>
      </c>
    </row>
    <row r="3" spans="1:14" x14ac:dyDescent="0.25">
      <c r="A3" s="40" t="s">
        <v>6</v>
      </c>
      <c r="B3" s="40"/>
      <c r="C3" s="41"/>
      <c r="D3" s="41"/>
      <c r="E3" s="42"/>
      <c r="F3" s="42"/>
      <c r="G3" s="41"/>
      <c r="H3" s="43"/>
      <c r="I3" s="41"/>
    </row>
    <row r="4" spans="1:14" ht="47.25" x14ac:dyDescent="0.25">
      <c r="C4" s="12" t="s">
        <v>7</v>
      </c>
      <c r="D4" s="12"/>
      <c r="E4" s="7" t="s">
        <v>47</v>
      </c>
      <c r="F4" s="7"/>
      <c r="G4" s="12" t="s">
        <v>5</v>
      </c>
      <c r="H4" s="12"/>
      <c r="I4" s="12" t="s">
        <v>8</v>
      </c>
      <c r="J4" s="12"/>
      <c r="K4" s="12"/>
      <c r="L4" s="7"/>
      <c r="M4" s="12"/>
      <c r="N4" s="12"/>
    </row>
    <row r="5" spans="1:14" x14ac:dyDescent="0.25">
      <c r="A5" t="s">
        <v>1</v>
      </c>
      <c r="C5" s="2">
        <v>0</v>
      </c>
      <c r="D5" s="12" t="s">
        <v>12</v>
      </c>
      <c r="E5" s="8">
        <v>1</v>
      </c>
      <c r="F5" s="6" t="s">
        <v>12</v>
      </c>
      <c r="G5" s="6">
        <v>260</v>
      </c>
      <c r="H5" s="6" t="s">
        <v>22</v>
      </c>
      <c r="I5" s="9">
        <f>C5*G5*E5</f>
        <v>0</v>
      </c>
      <c r="J5" s="9"/>
      <c r="K5" s="4"/>
      <c r="L5" s="6"/>
      <c r="M5" s="6"/>
      <c r="N5" s="9"/>
    </row>
    <row r="6" spans="1:14" x14ac:dyDescent="0.25">
      <c r="A6" t="s">
        <v>2</v>
      </c>
      <c r="C6" s="2">
        <v>0</v>
      </c>
      <c r="D6" s="12" t="s">
        <v>12</v>
      </c>
      <c r="E6" s="8">
        <v>1</v>
      </c>
      <c r="F6" s="6" t="s">
        <v>12</v>
      </c>
      <c r="G6" s="6">
        <v>260</v>
      </c>
      <c r="H6" s="6" t="s">
        <v>22</v>
      </c>
      <c r="I6" s="9">
        <f t="shared" ref="I6:I7" si="0">C6*G6*E6</f>
        <v>0</v>
      </c>
      <c r="J6" s="9"/>
      <c r="K6" s="4"/>
      <c r="L6" s="6"/>
      <c r="M6" s="6"/>
      <c r="N6" s="9"/>
    </row>
    <row r="7" spans="1:14" x14ac:dyDescent="0.25">
      <c r="A7" s="1" t="s">
        <v>3</v>
      </c>
      <c r="B7" s="1"/>
      <c r="C7" s="3">
        <v>0</v>
      </c>
      <c r="D7" s="51" t="s">
        <v>12</v>
      </c>
      <c r="E7" s="52">
        <v>1</v>
      </c>
      <c r="F7" s="10" t="s">
        <v>12</v>
      </c>
      <c r="G7" s="10">
        <v>260</v>
      </c>
      <c r="H7" s="10" t="s">
        <v>22</v>
      </c>
      <c r="I7" s="11">
        <f t="shared" si="0"/>
        <v>0</v>
      </c>
      <c r="J7" s="9"/>
      <c r="K7" s="4"/>
      <c r="L7" s="6"/>
      <c r="M7" s="6"/>
      <c r="N7" s="9"/>
    </row>
    <row r="8" spans="1:14" x14ac:dyDescent="0.25">
      <c r="A8" t="s">
        <v>4</v>
      </c>
      <c r="C8" s="4">
        <f>SUM(C5:C7)</f>
        <v>0</v>
      </c>
      <c r="D8" s="4"/>
      <c r="E8" s="13">
        <f>IF(I8=0,0,I8/(C8*G8))</f>
        <v>0</v>
      </c>
      <c r="G8" s="6">
        <v>260</v>
      </c>
      <c r="H8" s="6"/>
      <c r="I8" s="59">
        <f>SUM(I5:I7)</f>
        <v>0</v>
      </c>
      <c r="J8" s="9"/>
      <c r="K8" s="4"/>
      <c r="L8" s="13"/>
      <c r="M8" s="6"/>
      <c r="N8" s="9"/>
    </row>
    <row r="11" spans="1:14" x14ac:dyDescent="0.25">
      <c r="A11" s="44" t="s">
        <v>56</v>
      </c>
      <c r="B11" s="44"/>
      <c r="C11" s="45"/>
      <c r="D11" s="45"/>
      <c r="E11" s="45"/>
      <c r="F11" s="45"/>
      <c r="G11" s="45"/>
      <c r="H11" s="46"/>
      <c r="I11" s="45"/>
    </row>
    <row r="12" spans="1:14" ht="47.25" x14ac:dyDescent="0.25">
      <c r="C12" s="12" t="s">
        <v>7</v>
      </c>
      <c r="D12" s="12"/>
      <c r="E12" s="7" t="s">
        <v>48</v>
      </c>
      <c r="F12" s="7"/>
      <c r="G12" s="12" t="s">
        <v>5</v>
      </c>
      <c r="H12" s="12"/>
      <c r="I12" s="12" t="s">
        <v>8</v>
      </c>
    </row>
    <row r="13" spans="1:14" x14ac:dyDescent="0.25">
      <c r="A13" t="s">
        <v>1</v>
      </c>
      <c r="C13" s="2">
        <v>0</v>
      </c>
      <c r="D13" s="12" t="s">
        <v>12</v>
      </c>
      <c r="E13" s="8">
        <v>1</v>
      </c>
      <c r="F13" s="6" t="s">
        <v>12</v>
      </c>
      <c r="G13" s="6">
        <v>260</v>
      </c>
      <c r="H13" s="6" t="s">
        <v>22</v>
      </c>
      <c r="I13" s="9">
        <f>C13*G13*E13</f>
        <v>0</v>
      </c>
    </row>
    <row r="14" spans="1:14" x14ac:dyDescent="0.25">
      <c r="A14" t="s">
        <v>2</v>
      </c>
      <c r="C14" s="2">
        <v>0</v>
      </c>
      <c r="D14" s="12" t="s">
        <v>12</v>
      </c>
      <c r="E14" s="8">
        <v>1</v>
      </c>
      <c r="F14" s="6" t="s">
        <v>12</v>
      </c>
      <c r="G14" s="6">
        <v>260</v>
      </c>
      <c r="H14" s="6" t="s">
        <v>22</v>
      </c>
      <c r="I14" s="9">
        <f t="shared" ref="I14:I15" si="1">C14*G14*E14</f>
        <v>0</v>
      </c>
    </row>
    <row r="15" spans="1:14" x14ac:dyDescent="0.25">
      <c r="A15" s="1" t="s">
        <v>3</v>
      </c>
      <c r="B15" s="1"/>
      <c r="C15" s="3">
        <v>0</v>
      </c>
      <c r="D15" s="51" t="s">
        <v>12</v>
      </c>
      <c r="E15" s="52">
        <v>1</v>
      </c>
      <c r="F15" s="10" t="s">
        <v>12</v>
      </c>
      <c r="G15" s="10">
        <v>260</v>
      </c>
      <c r="H15" s="10" t="s">
        <v>22</v>
      </c>
      <c r="I15" s="11">
        <f t="shared" si="1"/>
        <v>0</v>
      </c>
    </row>
    <row r="16" spans="1:14" x14ac:dyDescent="0.25">
      <c r="A16" t="s">
        <v>4</v>
      </c>
      <c r="C16" s="4">
        <f>SUM(C13:C15)</f>
        <v>0</v>
      </c>
      <c r="D16" s="4"/>
      <c r="E16" s="13">
        <f>IF(I16=0,0,I16/(C16*G16))</f>
        <v>0</v>
      </c>
      <c r="G16" s="6">
        <v>260</v>
      </c>
      <c r="H16" s="6"/>
      <c r="I16" s="59">
        <f>SUM(I13:I15)</f>
        <v>0</v>
      </c>
    </row>
    <row r="18" spans="1:12" x14ac:dyDescent="0.25">
      <c r="A18" s="14" t="s">
        <v>49</v>
      </c>
      <c r="I18" s="9"/>
    </row>
    <row r="19" spans="1:12" x14ac:dyDescent="0.25">
      <c r="A19" t="s">
        <v>1</v>
      </c>
      <c r="I19" s="9">
        <f>I13-I5</f>
        <v>0</v>
      </c>
    </row>
    <row r="20" spans="1:12" x14ac:dyDescent="0.25">
      <c r="A20" t="s">
        <v>2</v>
      </c>
      <c r="I20" s="9">
        <f t="shared" ref="I20:I21" si="2">I14-I6</f>
        <v>0</v>
      </c>
    </row>
    <row r="21" spans="1:12" x14ac:dyDescent="0.25">
      <c r="A21" s="1" t="s">
        <v>3</v>
      </c>
      <c r="B21" s="1"/>
      <c r="C21" s="1"/>
      <c r="D21" s="1"/>
      <c r="E21" s="10"/>
      <c r="F21" s="10"/>
      <c r="G21" s="1"/>
      <c r="H21" s="22"/>
      <c r="I21" s="11">
        <f t="shared" si="2"/>
        <v>0</v>
      </c>
    </row>
    <row r="22" spans="1:12" x14ac:dyDescent="0.25">
      <c r="A22" t="s">
        <v>4</v>
      </c>
      <c r="I22" s="59">
        <f>SUM(I19:I21)</f>
        <v>0</v>
      </c>
    </row>
    <row r="23" spans="1:12" x14ac:dyDescent="0.25">
      <c r="C23" s="4"/>
      <c r="D23" s="4"/>
      <c r="E23" s="4"/>
      <c r="F23" s="4"/>
      <c r="G23" s="4"/>
      <c r="I23" s="4"/>
      <c r="J23" s="4"/>
      <c r="K23" s="4"/>
      <c r="L23" s="4"/>
    </row>
    <row r="24" spans="1:12" x14ac:dyDescent="0.25">
      <c r="C24" s="4"/>
      <c r="D24" s="4"/>
      <c r="E24" s="4"/>
      <c r="F24" s="4"/>
      <c r="G24" s="4"/>
      <c r="I24" s="4"/>
      <c r="J24" s="4"/>
      <c r="K24" s="4"/>
      <c r="L24" s="4"/>
    </row>
    <row r="25" spans="1:12" x14ac:dyDescent="0.25">
      <c r="A25" s="47" t="s">
        <v>10</v>
      </c>
      <c r="B25" s="47"/>
      <c r="C25" s="47"/>
      <c r="D25" s="47"/>
      <c r="E25" s="61"/>
      <c r="F25" s="61"/>
      <c r="G25" s="47"/>
      <c r="H25" s="63" t="s">
        <v>67</v>
      </c>
      <c r="I25" s="62">
        <f>I30+I37+I44+I50+I55+I64+I84+I88+I92</f>
        <v>0</v>
      </c>
    </row>
    <row r="26" spans="1:12" x14ac:dyDescent="0.25">
      <c r="A26" s="14" t="s">
        <v>9</v>
      </c>
      <c r="B26" s="14"/>
      <c r="G26" s="6" t="s">
        <v>11</v>
      </c>
      <c r="H26" s="6"/>
    </row>
    <row r="27" spans="1:12" x14ac:dyDescent="0.25">
      <c r="A27" t="s">
        <v>1</v>
      </c>
      <c r="C27" s="9">
        <f>I19</f>
        <v>0</v>
      </c>
      <c r="D27" s="9"/>
      <c r="E27" s="6" t="s">
        <v>12</v>
      </c>
      <c r="G27" s="55">
        <v>66.86</v>
      </c>
      <c r="H27" s="15" t="s">
        <v>22</v>
      </c>
      <c r="I27" s="17">
        <f>C27*G27</f>
        <v>0</v>
      </c>
      <c r="J27" s="24" t="s">
        <v>57</v>
      </c>
    </row>
    <row r="28" spans="1:12" x14ac:dyDescent="0.25">
      <c r="A28" t="s">
        <v>2</v>
      </c>
      <c r="C28" s="9">
        <f t="shared" ref="C28:C29" si="3">I20</f>
        <v>0</v>
      </c>
      <c r="D28" s="9"/>
      <c r="E28" s="6" t="s">
        <v>12</v>
      </c>
      <c r="G28" s="55">
        <v>42.09</v>
      </c>
      <c r="H28" s="15" t="s">
        <v>22</v>
      </c>
      <c r="I28" s="17">
        <f t="shared" ref="I28:I29" si="4">C28*G28</f>
        <v>0</v>
      </c>
      <c r="J28" s="24" t="s">
        <v>57</v>
      </c>
    </row>
    <row r="29" spans="1:12" x14ac:dyDescent="0.25">
      <c r="A29" s="1" t="s">
        <v>3</v>
      </c>
      <c r="B29" s="1"/>
      <c r="C29" s="11">
        <f t="shared" si="3"/>
        <v>0</v>
      </c>
      <c r="D29" s="11"/>
      <c r="E29" s="10" t="s">
        <v>12</v>
      </c>
      <c r="F29" s="10"/>
      <c r="G29" s="56">
        <v>33.83</v>
      </c>
      <c r="H29" s="18" t="s">
        <v>22</v>
      </c>
      <c r="I29" s="19">
        <f t="shared" si="4"/>
        <v>0</v>
      </c>
      <c r="J29" s="24" t="s">
        <v>57</v>
      </c>
    </row>
    <row r="30" spans="1:12" x14ac:dyDescent="0.25">
      <c r="I30" s="26">
        <f>SUM(I27:I29)</f>
        <v>0</v>
      </c>
    </row>
    <row r="32" spans="1:12" x14ac:dyDescent="0.25">
      <c r="A32" s="14" t="s">
        <v>13</v>
      </c>
    </row>
    <row r="33" spans="1:22" x14ac:dyDescent="0.25">
      <c r="A33" t="s">
        <v>14</v>
      </c>
      <c r="C33" s="9"/>
      <c r="D33" s="9"/>
    </row>
    <row r="34" spans="1:22" x14ac:dyDescent="0.25">
      <c r="A34" t="s">
        <v>18</v>
      </c>
      <c r="C34" s="9">
        <f>I22</f>
        <v>0</v>
      </c>
      <c r="D34" s="9"/>
      <c r="E34" s="6" t="s">
        <v>15</v>
      </c>
      <c r="G34" s="55">
        <v>2.69</v>
      </c>
      <c r="H34" s="28" t="s">
        <v>22</v>
      </c>
      <c r="I34" s="17">
        <f>C34*G34</f>
        <v>0</v>
      </c>
      <c r="J34" s="24" t="s">
        <v>54</v>
      </c>
      <c r="K34" s="24"/>
    </row>
    <row r="35" spans="1:22" x14ac:dyDescent="0.25">
      <c r="A35" t="s">
        <v>16</v>
      </c>
      <c r="C35" s="9">
        <f>C34</f>
        <v>0</v>
      </c>
      <c r="D35" s="9"/>
      <c r="E35" s="6" t="s">
        <v>15</v>
      </c>
      <c r="G35" s="55">
        <v>3.14</v>
      </c>
      <c r="H35" s="28" t="s">
        <v>22</v>
      </c>
      <c r="I35" s="17">
        <f t="shared" ref="I35:I36" si="5">C35*G35</f>
        <v>0</v>
      </c>
      <c r="J35" s="24" t="s">
        <v>54</v>
      </c>
      <c r="K35" s="24"/>
    </row>
    <row r="36" spans="1:22" ht="63" x14ac:dyDescent="0.25">
      <c r="A36" s="20" t="s">
        <v>17</v>
      </c>
      <c r="B36" s="20"/>
      <c r="C36" s="21">
        <f>C35</f>
        <v>0</v>
      </c>
      <c r="D36" s="21"/>
      <c r="E36" s="10" t="s">
        <v>15</v>
      </c>
      <c r="F36" s="10"/>
      <c r="G36" s="56">
        <v>2.85</v>
      </c>
      <c r="H36" s="18" t="s">
        <v>22</v>
      </c>
      <c r="I36" s="23">
        <f t="shared" si="5"/>
        <v>0</v>
      </c>
      <c r="J36" s="53" t="s">
        <v>54</v>
      </c>
      <c r="K36" s="25"/>
    </row>
    <row r="37" spans="1:22" x14ac:dyDescent="0.25">
      <c r="C37" s="16"/>
      <c r="D37" s="16"/>
      <c r="G37" s="16"/>
      <c r="H37" s="28"/>
      <c r="I37" s="26">
        <f>SUM(I34:I36)</f>
        <v>0</v>
      </c>
    </row>
    <row r="39" spans="1:22" x14ac:dyDescent="0.25">
      <c r="A39" t="s">
        <v>19</v>
      </c>
    </row>
    <row r="40" spans="1:22" x14ac:dyDescent="0.25">
      <c r="A40" t="s">
        <v>20</v>
      </c>
    </row>
    <row r="41" spans="1:22" x14ac:dyDescent="0.25">
      <c r="A41" s="9">
        <f>20800</f>
        <v>20800</v>
      </c>
      <c r="B41" s="6" t="s">
        <v>21</v>
      </c>
      <c r="C41" s="27">
        <f>I8</f>
        <v>0</v>
      </c>
      <c r="D41" s="27" t="s">
        <v>22</v>
      </c>
      <c r="E41" s="9">
        <f>A41-C41</f>
        <v>20800</v>
      </c>
      <c r="F41" s="4" t="s">
        <v>12</v>
      </c>
      <c r="G41" s="55">
        <v>1.1200000000000001</v>
      </c>
      <c r="H41" s="28" t="s">
        <v>22</v>
      </c>
      <c r="I41" s="17">
        <f>E41*G41</f>
        <v>23296.000000000004</v>
      </c>
    </row>
    <row r="42" spans="1:22" x14ac:dyDescent="0.25">
      <c r="A42" t="s">
        <v>23</v>
      </c>
      <c r="G42" s="55"/>
    </row>
    <row r="43" spans="1:22" x14ac:dyDescent="0.25">
      <c r="A43" s="11">
        <f>20800</f>
        <v>20800</v>
      </c>
      <c r="B43" s="10" t="s">
        <v>21</v>
      </c>
      <c r="C43" s="29">
        <f>I16</f>
        <v>0</v>
      </c>
      <c r="D43" s="29" t="s">
        <v>22</v>
      </c>
      <c r="E43" s="11">
        <f>A43-C43</f>
        <v>20800</v>
      </c>
      <c r="F43" s="22" t="s">
        <v>12</v>
      </c>
      <c r="G43" s="56">
        <v>1.1200000000000001</v>
      </c>
      <c r="H43" s="30" t="s">
        <v>22</v>
      </c>
      <c r="I43" s="19">
        <f>E43*G43</f>
        <v>23296.000000000004</v>
      </c>
    </row>
    <row r="44" spans="1:22" x14ac:dyDescent="0.25">
      <c r="I44" s="26">
        <f>I43-I41</f>
        <v>0</v>
      </c>
    </row>
    <row r="45" spans="1:22" x14ac:dyDescent="0.25">
      <c r="A45" s="14" t="s">
        <v>59</v>
      </c>
    </row>
    <row r="46" spans="1:22" x14ac:dyDescent="0.25">
      <c r="A46" s="47" t="s">
        <v>63</v>
      </c>
      <c r="B46" s="48"/>
      <c r="C46" s="48"/>
      <c r="D46" s="48"/>
      <c r="E46" s="57" t="s">
        <v>62</v>
      </c>
      <c r="F46" s="49"/>
      <c r="G46" s="48"/>
      <c r="H46" s="50"/>
      <c r="I46" s="48"/>
      <c r="V46" t="s">
        <v>61</v>
      </c>
    </row>
    <row r="47" spans="1:22" x14ac:dyDescent="0.25">
      <c r="A47" s="14" t="s">
        <v>51</v>
      </c>
      <c r="V47" t="s">
        <v>62</v>
      </c>
    </row>
    <row r="48" spans="1:22" x14ac:dyDescent="0.25">
      <c r="A48" s="14" t="s">
        <v>24</v>
      </c>
      <c r="B48" s="60" t="s">
        <v>61</v>
      </c>
    </row>
    <row r="49" spans="1:11" x14ac:dyDescent="0.25">
      <c r="A49" t="s">
        <v>26</v>
      </c>
    </row>
    <row r="50" spans="1:11" x14ac:dyDescent="0.25">
      <c r="A50" s="6">
        <f>IF(E46="non",0,IF(B48="oui",C16,0))</f>
        <v>0</v>
      </c>
      <c r="B50" s="4" t="s">
        <v>21</v>
      </c>
      <c r="C50" s="6">
        <f>IF(E46="non",0,IF(B48="oui",C8,0))</f>
        <v>0</v>
      </c>
      <c r="D50" s="6" t="s">
        <v>22</v>
      </c>
      <c r="E50" s="4">
        <f>A50-C50</f>
        <v>0</v>
      </c>
      <c r="F50" s="4" t="s">
        <v>12</v>
      </c>
      <c r="G50" s="55">
        <v>587.83000000000004</v>
      </c>
      <c r="H50" s="4" t="s">
        <v>22</v>
      </c>
      <c r="I50" s="26">
        <f>E50*G50</f>
        <v>0</v>
      </c>
    </row>
    <row r="51" spans="1:11" x14ac:dyDescent="0.25">
      <c r="I51" s="39"/>
    </row>
    <row r="52" spans="1:11" x14ac:dyDescent="0.25">
      <c r="A52" s="14" t="s">
        <v>25</v>
      </c>
      <c r="B52" s="60" t="s">
        <v>62</v>
      </c>
      <c r="I52" s="39"/>
    </row>
    <row r="53" spans="1:11" x14ac:dyDescent="0.25">
      <c r="A53" t="s">
        <v>52</v>
      </c>
      <c r="I53" s="39"/>
    </row>
    <row r="54" spans="1:11" x14ac:dyDescent="0.25">
      <c r="A54" t="s">
        <v>26</v>
      </c>
      <c r="I54" s="39"/>
    </row>
    <row r="55" spans="1:11" x14ac:dyDescent="0.25">
      <c r="A55" s="6">
        <f>IF(E46="non",0,IF(B52="oui",C16,0))</f>
        <v>0</v>
      </c>
      <c r="B55" s="4" t="s">
        <v>21</v>
      </c>
      <c r="C55" s="6">
        <f>IF(E46="non",0,IF(B52="oui",C8,0))</f>
        <v>0</v>
      </c>
      <c r="D55" s="6" t="s">
        <v>22</v>
      </c>
      <c r="E55" s="4">
        <f>A55-C55</f>
        <v>0</v>
      </c>
      <c r="F55" s="4" t="s">
        <v>12</v>
      </c>
      <c r="G55" s="55">
        <v>587.83000000000004</v>
      </c>
      <c r="H55" s="4" t="s">
        <v>22</v>
      </c>
      <c r="I55" s="26">
        <f>E55*G55</f>
        <v>0</v>
      </c>
    </row>
    <row r="56" spans="1:11" x14ac:dyDescent="0.25">
      <c r="A56" t="s">
        <v>19</v>
      </c>
    </row>
    <row r="57" spans="1:11" ht="47.25" x14ac:dyDescent="0.25">
      <c r="C57" s="12" t="s">
        <v>27</v>
      </c>
      <c r="D57" s="4"/>
      <c r="E57" s="7" t="s">
        <v>28</v>
      </c>
    </row>
    <row r="58" spans="1:11" x14ac:dyDescent="0.25">
      <c r="A58" t="s">
        <v>29</v>
      </c>
      <c r="C58" s="4">
        <v>1</v>
      </c>
      <c r="D58" s="4"/>
      <c r="E58" s="31">
        <v>1941</v>
      </c>
    </row>
    <row r="59" spans="1:11" x14ac:dyDescent="0.25">
      <c r="A59" t="s">
        <v>30</v>
      </c>
      <c r="C59" s="4">
        <v>2</v>
      </c>
      <c r="D59" s="4"/>
      <c r="E59" s="31">
        <v>1665</v>
      </c>
    </row>
    <row r="60" spans="1:11" x14ac:dyDescent="0.25">
      <c r="A60" t="s">
        <v>31</v>
      </c>
      <c r="C60" s="4">
        <v>3</v>
      </c>
      <c r="D60" s="4"/>
      <c r="E60" s="31">
        <v>1665</v>
      </c>
    </row>
    <row r="61" spans="1:11" x14ac:dyDescent="0.25">
      <c r="A61" t="s">
        <v>32</v>
      </c>
      <c r="C61" s="4">
        <v>4</v>
      </c>
      <c r="D61" s="4"/>
      <c r="E61" s="31">
        <v>935</v>
      </c>
    </row>
    <row r="62" spans="1:11" x14ac:dyDescent="0.25">
      <c r="A62" t="s">
        <v>33</v>
      </c>
      <c r="C62" s="4">
        <v>5</v>
      </c>
      <c r="D62" s="4"/>
      <c r="E62" s="31">
        <v>821</v>
      </c>
    </row>
    <row r="63" spans="1:11" x14ac:dyDescent="0.25">
      <c r="C63" s="4"/>
      <c r="D63" s="4"/>
      <c r="E63" s="31"/>
    </row>
    <row r="64" spans="1:11" x14ac:dyDescent="0.25">
      <c r="A64" t="s">
        <v>34</v>
      </c>
      <c r="C64" s="2">
        <v>1</v>
      </c>
      <c r="E64" s="31">
        <f>VLOOKUP(C64,C58:E62,3)</f>
        <v>1941</v>
      </c>
      <c r="F64" s="6" t="s">
        <v>12</v>
      </c>
      <c r="G64" s="4">
        <f>E55</f>
        <v>0</v>
      </c>
      <c r="H64" s="4" t="s">
        <v>22</v>
      </c>
      <c r="I64" s="26">
        <f>E64*G64</f>
        <v>0</v>
      </c>
      <c r="K64" s="24" t="s">
        <v>66</v>
      </c>
    </row>
    <row r="65" spans="1:52" x14ac:dyDescent="0.25">
      <c r="K65" s="24" t="s">
        <v>55</v>
      </c>
    </row>
    <row r="67" spans="1:52" x14ac:dyDescent="0.25">
      <c r="A67" s="14" t="s">
        <v>53</v>
      </c>
    </row>
    <row r="68" spans="1:52" x14ac:dyDescent="0.25">
      <c r="A68" t="s">
        <v>35</v>
      </c>
      <c r="E68" s="54">
        <v>2358.1999999999998</v>
      </c>
      <c r="F68" s="6" t="s">
        <v>12</v>
      </c>
      <c r="G68" s="4">
        <f>IF(C16&gt;C8,AZ68,AR68)</f>
        <v>0</v>
      </c>
      <c r="H68" s="4" t="s">
        <v>22</v>
      </c>
      <c r="I68" s="32">
        <f t="shared" ref="I68:I69" si="6">E68*G68</f>
        <v>0</v>
      </c>
      <c r="AO68">
        <f>IF(C16&lt;60,0)</f>
        <v>0</v>
      </c>
      <c r="AP68">
        <f>IF(AO68=0,C16-60,0)</f>
        <v>-60</v>
      </c>
      <c r="AQ68">
        <f>IF(G64=0,E50,G64)</f>
        <v>0</v>
      </c>
      <c r="AR68">
        <f>MAX(AP68,AQ68)</f>
        <v>0</v>
      </c>
      <c r="AX68">
        <f>IF(C8&lt;60,60-C8,0)</f>
        <v>60</v>
      </c>
      <c r="AY68">
        <f>MIN(AX68,AX69)</f>
        <v>0</v>
      </c>
      <c r="AZ68">
        <f>IF(E46="non",0,IF(C8&lt;60,AY68,0))</f>
        <v>0</v>
      </c>
    </row>
    <row r="69" spans="1:52" x14ac:dyDescent="0.25">
      <c r="A69" s="1" t="s">
        <v>36</v>
      </c>
      <c r="B69" s="1"/>
      <c r="C69" s="1"/>
      <c r="D69" s="1"/>
      <c r="E69" s="56">
        <v>2078.42</v>
      </c>
      <c r="F69" s="10" t="s">
        <v>12</v>
      </c>
      <c r="G69" s="22">
        <f>IF(C16&gt;C8,AZ69,AR69)</f>
        <v>0</v>
      </c>
      <c r="H69" s="22" t="s">
        <v>22</v>
      </c>
      <c r="I69" s="33">
        <f t="shared" si="6"/>
        <v>0</v>
      </c>
      <c r="AR69">
        <f>AQ68-AR68</f>
        <v>0</v>
      </c>
      <c r="AX69">
        <f>C16-C8</f>
        <v>0</v>
      </c>
      <c r="AY69">
        <f>IF(AX69-AX68&lt;0,0,AX69-AX68)</f>
        <v>0</v>
      </c>
      <c r="AZ69">
        <f>IF(E46="non",0,IF(C16&gt;=60,AY69,0))</f>
        <v>0</v>
      </c>
    </row>
    <row r="70" spans="1:52" x14ac:dyDescent="0.25">
      <c r="I70" s="26">
        <f>SUM(I68:I69)</f>
        <v>0</v>
      </c>
    </row>
    <row r="72" spans="1:52" x14ac:dyDescent="0.25">
      <c r="A72" s="24" t="s">
        <v>58</v>
      </c>
    </row>
    <row r="73" spans="1:52" x14ac:dyDescent="0.25">
      <c r="A73" s="47" t="s">
        <v>60</v>
      </c>
      <c r="B73" s="48"/>
      <c r="C73" s="48"/>
      <c r="D73" s="48"/>
      <c r="E73" s="49"/>
      <c r="F73" s="49"/>
      <c r="G73" s="48"/>
      <c r="H73" s="50"/>
      <c r="I73" s="48"/>
    </row>
    <row r="74" spans="1:52" x14ac:dyDescent="0.25">
      <c r="A74" t="s">
        <v>50</v>
      </c>
    </row>
    <row r="75" spans="1:52" x14ac:dyDescent="0.25">
      <c r="A75" t="s">
        <v>37</v>
      </c>
    </row>
    <row r="77" spans="1:52" ht="63" x14ac:dyDescent="0.25">
      <c r="B77" t="s">
        <v>46</v>
      </c>
      <c r="C77" s="12" t="s">
        <v>41</v>
      </c>
      <c r="E77" s="12" t="s">
        <v>40</v>
      </c>
      <c r="F77"/>
      <c r="G77" s="12" t="s">
        <v>39</v>
      </c>
      <c r="I77" t="s">
        <v>43</v>
      </c>
      <c r="K77" s="5" t="s">
        <v>44</v>
      </c>
    </row>
    <row r="78" spans="1:52" x14ac:dyDescent="0.25">
      <c r="A78" t="s">
        <v>38</v>
      </c>
      <c r="B78" s="4">
        <f>IF(E46="non",C8,0)</f>
        <v>0</v>
      </c>
      <c r="C78" s="9">
        <f>IF(E46="non",I16,0)</f>
        <v>0</v>
      </c>
    </row>
    <row r="79" spans="1:52" x14ac:dyDescent="0.25">
      <c r="A79" s="1" t="s">
        <v>45</v>
      </c>
      <c r="B79" s="3">
        <v>0</v>
      </c>
      <c r="C79" s="35">
        <f>B79*260</f>
        <v>0</v>
      </c>
      <c r="D79" s="1"/>
      <c r="E79" s="10"/>
      <c r="F79" s="10"/>
      <c r="G79" s="1"/>
      <c r="H79" s="22"/>
      <c r="I79" s="1"/>
      <c r="J79" s="1"/>
      <c r="K79" s="1"/>
    </row>
    <row r="80" spans="1:52" x14ac:dyDescent="0.25">
      <c r="C80" s="9">
        <f>SUM(C78:C79)</f>
        <v>0</v>
      </c>
      <c r="D80" s="4" t="s">
        <v>42</v>
      </c>
      <c r="E80" s="9">
        <f>B78*260</f>
        <v>0</v>
      </c>
      <c r="F80" s="4" t="s">
        <v>22</v>
      </c>
      <c r="G80" s="34">
        <f>IF(C80=0,0,C80/E80)</f>
        <v>0</v>
      </c>
      <c r="H80" s="6" t="s">
        <v>21</v>
      </c>
      <c r="I80" s="36">
        <v>0.9</v>
      </c>
      <c r="J80" t="s">
        <v>22</v>
      </c>
      <c r="K80" s="34">
        <f>IF(G80=0,0,IF(G80&gt;I80,0,G80-I80))</f>
        <v>0</v>
      </c>
    </row>
    <row r="82" spans="1:11" x14ac:dyDescent="0.25">
      <c r="A82" s="14" t="s">
        <v>10</v>
      </c>
    </row>
    <row r="83" spans="1:11" x14ac:dyDescent="0.25">
      <c r="A83" s="14" t="s">
        <v>51</v>
      </c>
    </row>
    <row r="84" spans="1:11" x14ac:dyDescent="0.25">
      <c r="A84" t="s">
        <v>24</v>
      </c>
      <c r="B84" s="60" t="s">
        <v>61</v>
      </c>
      <c r="C84" s="37">
        <f>K80</f>
        <v>0</v>
      </c>
      <c r="D84" s="4" t="s">
        <v>12</v>
      </c>
      <c r="E84" s="6">
        <f>IF(B84="oui",B78,0)</f>
        <v>0</v>
      </c>
      <c r="F84" s="6" t="s">
        <v>12</v>
      </c>
      <c r="G84" s="55">
        <f>G50</f>
        <v>587.83000000000004</v>
      </c>
      <c r="H84" s="4" t="s">
        <v>22</v>
      </c>
      <c r="I84" s="26">
        <f>C84*E84*G84</f>
        <v>0</v>
      </c>
    </row>
    <row r="85" spans="1:11" x14ac:dyDescent="0.25">
      <c r="C85" s="37"/>
      <c r="D85" s="4"/>
      <c r="G85" s="55"/>
      <c r="I85" s="26"/>
    </row>
    <row r="86" spans="1:11" x14ac:dyDescent="0.25">
      <c r="A86" t="s">
        <v>25</v>
      </c>
      <c r="B86" s="60" t="s">
        <v>61</v>
      </c>
      <c r="C86" s="37">
        <f>C84</f>
        <v>0</v>
      </c>
      <c r="D86" s="4" t="s">
        <v>12</v>
      </c>
      <c r="E86" s="6">
        <f>IF(B86="oui",B78,0)</f>
        <v>0</v>
      </c>
      <c r="F86" s="6" t="s">
        <v>12</v>
      </c>
      <c r="G86" s="55">
        <f>G84</f>
        <v>587.83000000000004</v>
      </c>
      <c r="H86" s="4" t="s">
        <v>22</v>
      </c>
      <c r="I86" s="26">
        <f>C86*E86*G86</f>
        <v>0</v>
      </c>
    </row>
    <row r="87" spans="1:11" x14ac:dyDescent="0.25">
      <c r="A87" s="1"/>
      <c r="B87" s="1"/>
      <c r="C87" s="38">
        <f>C86</f>
        <v>0</v>
      </c>
      <c r="D87" s="22" t="s">
        <v>12</v>
      </c>
      <c r="E87" s="10">
        <f>IF(B86="oui",B78,0)</f>
        <v>0</v>
      </c>
      <c r="F87" s="10" t="s">
        <v>12</v>
      </c>
      <c r="G87" s="33">
        <f>E64</f>
        <v>1941</v>
      </c>
      <c r="H87" s="22" t="s">
        <v>22</v>
      </c>
      <c r="I87" s="58">
        <f>C87*E87*G87</f>
        <v>0</v>
      </c>
    </row>
    <row r="88" spans="1:11" x14ac:dyDescent="0.25">
      <c r="I88" s="26">
        <f>SUM(I86:I87)</f>
        <v>0</v>
      </c>
      <c r="K88" s="24" t="s">
        <v>66</v>
      </c>
    </row>
    <row r="89" spans="1:11" x14ac:dyDescent="0.25">
      <c r="A89" s="14" t="s">
        <v>53</v>
      </c>
    </row>
    <row r="90" spans="1:11" x14ac:dyDescent="0.25">
      <c r="A90" t="s">
        <v>35</v>
      </c>
      <c r="C90" s="37">
        <f>C86</f>
        <v>0</v>
      </c>
      <c r="D90" s="4" t="s">
        <v>12</v>
      </c>
      <c r="E90" s="6">
        <f>MIN(E84,60)</f>
        <v>0</v>
      </c>
      <c r="F90" s="6" t="s">
        <v>12</v>
      </c>
      <c r="G90" s="55">
        <v>2358.1999999999998</v>
      </c>
      <c r="H90" s="4" t="s">
        <v>22</v>
      </c>
      <c r="I90" s="26">
        <f t="shared" ref="I90:I91" si="7">C90*E90*G90</f>
        <v>0</v>
      </c>
    </row>
    <row r="91" spans="1:11" x14ac:dyDescent="0.25">
      <c r="A91" s="1" t="s">
        <v>36</v>
      </c>
      <c r="B91" s="1"/>
      <c r="C91" s="38">
        <f>C90</f>
        <v>0</v>
      </c>
      <c r="D91" s="22" t="s">
        <v>12</v>
      </c>
      <c r="E91" s="10">
        <f>IF(E84&gt;60,E84-E90,0)</f>
        <v>0</v>
      </c>
      <c r="F91" s="10" t="s">
        <v>12</v>
      </c>
      <c r="G91" s="56">
        <v>2078.42</v>
      </c>
      <c r="H91" s="22" t="s">
        <v>22</v>
      </c>
      <c r="I91" s="58">
        <f t="shared" si="7"/>
        <v>0</v>
      </c>
    </row>
    <row r="92" spans="1:11" x14ac:dyDescent="0.25">
      <c r="I92" s="26">
        <f>SUM(I90:I91)</f>
        <v>0</v>
      </c>
    </row>
  </sheetData>
  <dataValidations count="2">
    <dataValidation type="list" allowBlank="1" showInputMessage="1" showErrorMessage="1" sqref="C64" xr:uid="{05AAE10D-60C3-A544-81D1-8566B6F4D854}">
      <formula1>$C$58:$C$62</formula1>
    </dataValidation>
    <dataValidation type="list" allowBlank="1" showInputMessage="1" showErrorMessage="1" sqref="E46 B48 B52 B84 B86" xr:uid="{EAB2FD23-E905-3B44-8949-C6B7775F2EC3}">
      <formula1>$V$46:$V$47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Exemple 1</vt:lpstr>
      <vt:lpstr>Exemple 2</vt:lpstr>
      <vt:lpstr>Exemple 3</vt:lpstr>
      <vt:lpstr>Exemple 4</vt:lpstr>
      <vt:lpstr>Feuille de 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de Gaillande</dc:creator>
  <cp:lastModifiedBy>Marie-Josée Truchon</cp:lastModifiedBy>
  <dcterms:created xsi:type="dcterms:W3CDTF">2023-10-27T14:23:15Z</dcterms:created>
  <dcterms:modified xsi:type="dcterms:W3CDTF">2023-11-01T15:51:17Z</dcterms:modified>
</cp:coreProperties>
</file>